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CSforms\FREEDOM BUDGET FY2026-PRPOSED\Freedom Budget FY26. adopted\"/>
    </mc:Choice>
  </mc:AlternateContent>
  <workbookProtection workbookAlgorithmName="SHA-512" workbookHashValue="lPZLiWn+i8AqhLILoLXjw+PZzlvY0ykWFX/HEu20HudqerDFpuQ9rQrhGu1LrC2aJl9ZUSls7yMSYLOg4snniw==" workbookSaltValue="wH6AvIjiMD83adMoz+BIFg==" workbookSpinCount="100000" lockStructure="1"/>
  <bookViews>
    <workbookView xWindow="-7725" yWindow="-17385" windowWidth="30930" windowHeight="16770" tabRatio="720" firstSheet="3" activeTab="7"/>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Entry'!$N$108</definedName>
    <definedName name="CAK3Reading">'Page 2'!$E$48</definedName>
    <definedName name="CapitalAcquisitions">Instructions!$C$17</definedName>
    <definedName name="CharterContactInfo">#REF!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Entry'!$N$113</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ateAidsupplement">'Data Entry'!$N$103</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52511"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 i="22" l="1"/>
  <c r="F8" i="2"/>
  <c r="R12" i="1"/>
  <c r="F42" i="2"/>
  <c r="R11" i="1"/>
  <c r="E48" i="3"/>
  <c r="G69" i="21" l="1"/>
  <c r="C69" i="21"/>
  <c r="G67" i="21"/>
  <c r="E67" i="21"/>
  <c r="H70" i="21" s="1"/>
  <c r="C67" i="21"/>
  <c r="H55" i="21"/>
  <c r="H54" i="21"/>
  <c r="E59" i="21" s="1"/>
  <c r="E51" i="21"/>
  <c r="H50" i="2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E10" i="21"/>
  <c r="G10" i="21" s="1"/>
  <c r="D10" i="21"/>
  <c r="C10" i="21"/>
  <c r="B10" i="21"/>
  <c r="D9" i="21"/>
  <c r="C9" i="21"/>
  <c r="B9" i="21"/>
  <c r="B11" i="21" s="1"/>
  <c r="D12" i="21" s="1"/>
  <c r="H8" i="21"/>
  <c r="G8" i="21"/>
  <c r="F8" i="21"/>
  <c r="E8" i="21"/>
  <c r="B8" i="21"/>
  <c r="A3" i="21"/>
  <c r="A36" i="21" s="1"/>
  <c r="I1" i="21"/>
  <c r="E1" i="21"/>
  <c r="B1" i="21"/>
  <c r="G75" i="16"/>
  <c r="N75" i="16" s="1"/>
  <c r="G74" i="16"/>
  <c r="F74" i="16"/>
  <c r="G73" i="16"/>
  <c r="F73" i="16"/>
  <c r="G72" i="16"/>
  <c r="F72" i="16"/>
  <c r="F75" i="16" s="1"/>
  <c r="N74" i="16" s="1"/>
  <c r="N59" i="16"/>
  <c r="N57" i="16"/>
  <c r="N50" i="16"/>
  <c r="L50" i="16"/>
  <c r="N48" i="16"/>
  <c r="L48" i="16"/>
  <c r="N46" i="16"/>
  <c r="L46" i="16"/>
  <c r="N45" i="16"/>
  <c r="L45" i="16"/>
  <c r="N42" i="16"/>
  <c r="L42" i="16"/>
  <c r="N40" i="16"/>
  <c r="L40" i="16"/>
  <c r="N38" i="16"/>
  <c r="L38" i="16"/>
  <c r="N37" i="16"/>
  <c r="L37" i="16"/>
  <c r="N25" i="16"/>
  <c r="N23" i="16"/>
  <c r="N21" i="16"/>
  <c r="N20" i="16"/>
  <c r="L20" i="16"/>
  <c r="L21" i="16" s="1"/>
  <c r="N17" i="16"/>
  <c r="N15" i="16"/>
  <c r="N13" i="16"/>
  <c r="N12" i="16"/>
  <c r="L1" i="16"/>
  <c r="I1" i="16"/>
  <c r="E1" i="16"/>
  <c r="K75" i="18"/>
  <c r="J75" i="18"/>
  <c r="I75" i="18"/>
  <c r="L50" i="18"/>
  <c r="I50" i="18"/>
  <c r="G50" i="18"/>
  <c r="L41" i="18"/>
  <c r="I41" i="18"/>
  <c r="L12" i="16" s="1"/>
  <c r="G41" i="18"/>
  <c r="J31" i="18"/>
  <c r="J30" i="18"/>
  <c r="J29" i="18"/>
  <c r="A27" i="18"/>
  <c r="N58" i="16" s="1"/>
  <c r="P1" i="18"/>
  <c r="L1" i="18"/>
  <c r="E1" i="18"/>
  <c r="C18" i="22"/>
  <c r="C22" i="22" s="1"/>
  <c r="C25" i="22" s="1"/>
  <c r="C15" i="22"/>
  <c r="H1" i="22"/>
  <c r="E1" i="22"/>
  <c r="B1" i="22"/>
  <c r="H41" i="12"/>
  <c r="E40" i="12"/>
  <c r="E39" i="12"/>
  <c r="L38" i="12"/>
  <c r="E38" i="12"/>
  <c r="L37" i="12"/>
  <c r="M35" i="12" s="1"/>
  <c r="E34" i="12"/>
  <c r="E33" i="12"/>
  <c r="E32" i="12"/>
  <c r="K31" i="12"/>
  <c r="E31" i="12"/>
  <c r="E30" i="12"/>
  <c r="K29" i="12"/>
  <c r="E29" i="12"/>
  <c r="K28" i="12"/>
  <c r="E28" i="12"/>
  <c r="E27" i="12"/>
  <c r="E26" i="12"/>
  <c r="L19" i="12"/>
  <c r="L18" i="12"/>
  <c r="L17" i="12"/>
  <c r="L16" i="12"/>
  <c r="E16" i="12"/>
  <c r="L15" i="12"/>
  <c r="L14" i="12"/>
  <c r="L13" i="12"/>
  <c r="L12" i="12"/>
  <c r="E10" i="12"/>
  <c r="H3" i="12"/>
  <c r="L1" i="12"/>
  <c r="A1" i="12"/>
  <c r="N43" i="11"/>
  <c r="L43" i="11"/>
  <c r="K43" i="11"/>
  <c r="J43" i="11"/>
  <c r="I43" i="11"/>
  <c r="H43" i="11"/>
  <c r="G43" i="11"/>
  <c r="N42" i="11"/>
  <c r="M42" i="11" a="1"/>
  <c r="M42" i="11" s="1"/>
  <c r="O42" i="11" s="1"/>
  <c r="F42" i="11" a="1"/>
  <c r="F42" i="11" s="1"/>
  <c r="N39" i="11"/>
  <c r="L39" i="11"/>
  <c r="K39" i="11"/>
  <c r="J39" i="11"/>
  <c r="I39" i="11"/>
  <c r="H39" i="11"/>
  <c r="G39" i="11"/>
  <c r="N38" i="11"/>
  <c r="M38" i="11" a="1"/>
  <c r="M38" i="11" s="1"/>
  <c r="O38" i="11" s="1"/>
  <c r="F38" i="11" a="1"/>
  <c r="F38" i="11" s="1"/>
  <c r="N37" i="11"/>
  <c r="M37" i="11" a="1"/>
  <c r="M37" i="11" s="1"/>
  <c r="O37" i="11" s="1"/>
  <c r="F37" i="11" a="1"/>
  <c r="F37" i="11" s="1"/>
  <c r="N36" i="11"/>
  <c r="M36" i="11" a="1"/>
  <c r="M36" i="11" s="1"/>
  <c r="O36" i="11" s="1"/>
  <c r="F36" i="11" a="1"/>
  <c r="F36" i="11" s="1"/>
  <c r="N35" i="11"/>
  <c r="M35" i="11" a="1"/>
  <c r="M35" i="11" s="1"/>
  <c r="O35" i="11" s="1"/>
  <c r="F35" i="11" a="1"/>
  <c r="F35" i="11" s="1"/>
  <c r="N34" i="11"/>
  <c r="M34" i="11" a="1"/>
  <c r="M34" i="11" s="1"/>
  <c r="O34" i="11" s="1"/>
  <c r="F34" i="11" a="1"/>
  <c r="F34" i="11" s="1"/>
  <c r="N33" i="11"/>
  <c r="M33" i="11" a="1"/>
  <c r="M33" i="11" s="1"/>
  <c r="O33" i="11" s="1"/>
  <c r="F33" i="11" a="1"/>
  <c r="F33" i="11" s="1"/>
  <c r="N32" i="11"/>
  <c r="M32" i="11" a="1"/>
  <c r="M32" i="11" s="1"/>
  <c r="F32" i="11" a="1"/>
  <c r="F32" i="11" s="1"/>
  <c r="N30" i="11"/>
  <c r="M30" i="11" a="1"/>
  <c r="M30" i="11" s="1"/>
  <c r="O30" i="11" s="1"/>
  <c r="F30" i="11" a="1"/>
  <c r="F30" i="11" s="1"/>
  <c r="N22" i="11"/>
  <c r="M22" i="11" a="1"/>
  <c r="M22" i="11" s="1"/>
  <c r="O22" i="11" s="1"/>
  <c r="L22" i="11"/>
  <c r="K22" i="11"/>
  <c r="J22" i="11"/>
  <c r="I22" i="11"/>
  <c r="H22" i="11"/>
  <c r="G22" i="11"/>
  <c r="N21" i="11"/>
  <c r="M21" i="11" a="1"/>
  <c r="M21" i="11" s="1"/>
  <c r="O21" i="11" s="1"/>
  <c r="F21" i="11" a="1"/>
  <c r="F21" i="11" s="1"/>
  <c r="N18" i="11"/>
  <c r="L18" i="11"/>
  <c r="K18" i="11"/>
  <c r="J18" i="11"/>
  <c r="I18" i="11"/>
  <c r="H18" i="11"/>
  <c r="G18" i="11"/>
  <c r="N17" i="11"/>
  <c r="M17" i="11" a="1"/>
  <c r="M17" i="11" s="1"/>
  <c r="O17" i="11" s="1"/>
  <c r="F17" i="11" a="1"/>
  <c r="F17" i="11" s="1"/>
  <c r="N16" i="11"/>
  <c r="M16" i="11" a="1"/>
  <c r="M16" i="11" s="1"/>
  <c r="O16" i="11" s="1"/>
  <c r="F16" i="11" a="1"/>
  <c r="F16" i="11" s="1"/>
  <c r="N15" i="11"/>
  <c r="M15" i="11" a="1"/>
  <c r="M15" i="11" s="1"/>
  <c r="O15" i="11" s="1"/>
  <c r="F15" i="11" a="1"/>
  <c r="F15" i="11" s="1"/>
  <c r="N14" i="11"/>
  <c r="M14" i="11" a="1"/>
  <c r="M14" i="11" s="1"/>
  <c r="O14" i="11" s="1"/>
  <c r="F14" i="11" a="1"/>
  <c r="F14" i="11" s="1"/>
  <c r="N13" i="11"/>
  <c r="M13" i="11" a="1"/>
  <c r="M13" i="11" s="1"/>
  <c r="O13" i="11" s="1"/>
  <c r="F13" i="11" a="1"/>
  <c r="F13" i="11" s="1"/>
  <c r="N12" i="11"/>
  <c r="M12" i="11" a="1"/>
  <c r="M12" i="11" s="1"/>
  <c r="O12" i="11" s="1"/>
  <c r="F12" i="11" a="1"/>
  <c r="F12" i="11" s="1"/>
  <c r="N11" i="11"/>
  <c r="M11" i="11" a="1"/>
  <c r="M11" i="11" s="1"/>
  <c r="O11" i="11" s="1"/>
  <c r="F11" i="11" a="1"/>
  <c r="F11" i="11" s="1"/>
  <c r="N9" i="11"/>
  <c r="M9" i="11" a="1"/>
  <c r="M9" i="11" s="1"/>
  <c r="F9" i="11" a="1"/>
  <c r="F9" i="11" s="1"/>
  <c r="N1" i="11"/>
  <c r="J1" i="11"/>
  <c r="D1" i="11"/>
  <c r="K13" i="9"/>
  <c r="J13" i="9" a="1"/>
  <c r="J13" i="9" s="1"/>
  <c r="L13" i="9" s="1"/>
  <c r="I13" i="9"/>
  <c r="H13" i="9"/>
  <c r="G13" i="9"/>
  <c r="F13" i="9"/>
  <c r="K12" i="9"/>
  <c r="J12" i="9" a="1"/>
  <c r="J12" i="9" s="1"/>
  <c r="L12" i="9" s="1"/>
  <c r="K11" i="9"/>
  <c r="J11" i="9" a="1"/>
  <c r="J11" i="9" s="1"/>
  <c r="L11" i="9" s="1"/>
  <c r="K10" i="9"/>
  <c r="J10" i="9" a="1"/>
  <c r="J10" i="9" s="1"/>
  <c r="L10" i="9" s="1"/>
  <c r="K9" i="9"/>
  <c r="J9" i="9" a="1"/>
  <c r="J9" i="9" s="1"/>
  <c r="L9" i="9" s="1"/>
  <c r="K8" i="9"/>
  <c r="J8" i="9" a="1"/>
  <c r="J8" i="9" s="1"/>
  <c r="L1" i="9"/>
  <c r="G1" i="9"/>
  <c r="D1" i="9"/>
  <c r="D48" i="3"/>
  <c r="E46" i="3"/>
  <c r="K32" i="12" s="1"/>
  <c r="D45" i="3"/>
  <c r="D44" i="3"/>
  <c r="D43" i="3"/>
  <c r="D42" i="3"/>
  <c r="D41" i="3"/>
  <c r="D40" i="3" a="1"/>
  <c r="D40" i="3" s="1"/>
  <c r="E36" i="3"/>
  <c r="D35" i="3"/>
  <c r="D34" i="3"/>
  <c r="D33" i="3"/>
  <c r="D32" i="3"/>
  <c r="D31" i="3"/>
  <c r="D30" i="3"/>
  <c r="D29" i="3"/>
  <c r="D28" i="3"/>
  <c r="D27" i="3"/>
  <c r="D26" i="3"/>
  <c r="N25" i="3"/>
  <c r="L45" i="2" s="1"/>
  <c r="K27" i="12" s="1"/>
  <c r="D25" i="3"/>
  <c r="M24" i="3"/>
  <c r="D24" i="3"/>
  <c r="M23" i="3"/>
  <c r="M22" i="3"/>
  <c r="E22" i="3"/>
  <c r="E37" i="3" s="1"/>
  <c r="L48" i="2" s="1"/>
  <c r="M21" i="3"/>
  <c r="M25" i="3" s="1"/>
  <c r="D21" i="3"/>
  <c r="D20" i="3"/>
  <c r="D19" i="3"/>
  <c r="D18" i="3"/>
  <c r="D17" i="3"/>
  <c r="D16" i="3"/>
  <c r="D15" i="3"/>
  <c r="M14" i="3" a="1"/>
  <c r="M14" i="3" s="1"/>
  <c r="D14" i="3"/>
  <c r="D13" i="3"/>
  <c r="N12" i="3"/>
  <c r="D12" i="3"/>
  <c r="M11" i="3"/>
  <c r="K18" i="12" s="1"/>
  <c r="M18" i="12" s="1"/>
  <c r="D11" i="3"/>
  <c r="M10" i="3"/>
  <c r="K17" i="12" s="1"/>
  <c r="M17" i="12" s="1"/>
  <c r="D10" i="3"/>
  <c r="M9" i="3"/>
  <c r="K16" i="12" s="1"/>
  <c r="M16" i="12" s="1"/>
  <c r="D9" i="3"/>
  <c r="M8" i="3"/>
  <c r="K15" i="12" s="1"/>
  <c r="M15" i="12" s="1"/>
  <c r="D8" i="3"/>
  <c r="M7" i="3"/>
  <c r="K14" i="12" s="1"/>
  <c r="M14" i="12" s="1"/>
  <c r="D7" i="3"/>
  <c r="M6" i="3"/>
  <c r="K13" i="12" s="1"/>
  <c r="M13" i="12" s="1"/>
  <c r="D6" i="3"/>
  <c r="M5" i="3"/>
  <c r="K12" i="12" s="1"/>
  <c r="D5" i="3"/>
  <c r="N1" i="3"/>
  <c r="I1" i="3"/>
  <c r="C1" i="3"/>
  <c r="K48" i="2"/>
  <c r="L47" i="2"/>
  <c r="K47" i="2"/>
  <c r="J29" i="12" s="1"/>
  <c r="L29" i="12" s="1"/>
  <c r="J47" i="2"/>
  <c r="I47" i="2"/>
  <c r="H47" i="2"/>
  <c r="G47" i="2"/>
  <c r="F47" i="2"/>
  <c r="L46" i="2"/>
  <c r="K46" i="2"/>
  <c r="J28" i="12" s="1"/>
  <c r="L28" i="12" s="1"/>
  <c r="J46" i="2"/>
  <c r="I46" i="2"/>
  <c r="H46" i="2"/>
  <c r="G46" i="2"/>
  <c r="F46" i="2"/>
  <c r="K45" i="2"/>
  <c r="J27" i="12" s="1"/>
  <c r="K44" i="2"/>
  <c r="I44" i="2"/>
  <c r="H44" i="2"/>
  <c r="G44" i="2"/>
  <c r="F44" i="2"/>
  <c r="L42" i="2"/>
  <c r="K42" i="2"/>
  <c r="L41" i="2"/>
  <c r="K41" i="2"/>
  <c r="D39" i="12" s="1"/>
  <c r="F39" i="12" s="1"/>
  <c r="L40" i="2"/>
  <c r="K40" i="2"/>
  <c r="D38" i="12" s="1"/>
  <c r="F38" i="12" s="1"/>
  <c r="L39" i="2"/>
  <c r="M39" i="2" s="1"/>
  <c r="K39" i="2"/>
  <c r="D37" i="12" s="1"/>
  <c r="J37" i="2"/>
  <c r="I37" i="2"/>
  <c r="H37" i="2"/>
  <c r="G37" i="2"/>
  <c r="F37" i="2"/>
  <c r="L36" i="2"/>
  <c r="K36" i="2"/>
  <c r="M36" i="2" s="1"/>
  <c r="L35" i="2"/>
  <c r="K35" i="2"/>
  <c r="D33" i="12" s="1"/>
  <c r="F33" i="12" s="1"/>
  <c r="L34" i="2"/>
  <c r="K34" i="2"/>
  <c r="D32" i="12" s="1"/>
  <c r="F32" i="12" s="1"/>
  <c r="M33" i="2"/>
  <c r="L33" i="2"/>
  <c r="K33" i="2"/>
  <c r="D31" i="12" s="1"/>
  <c r="F31" i="12" s="1"/>
  <c r="L32" i="2"/>
  <c r="K32" i="2"/>
  <c r="D30" i="12" s="1"/>
  <c r="F30" i="12" s="1"/>
  <c r="M31" i="2"/>
  <c r="L31" i="2"/>
  <c r="K31" i="2"/>
  <c r="D29" i="12" s="1"/>
  <c r="F29" i="12" s="1"/>
  <c r="L30" i="2"/>
  <c r="K30" i="2"/>
  <c r="D28" i="12" s="1"/>
  <c r="F28" i="12" s="1"/>
  <c r="M29" i="2"/>
  <c r="L29" i="2"/>
  <c r="K29" i="2"/>
  <c r="D27" i="12" s="1"/>
  <c r="F27" i="12" s="1"/>
  <c r="L28" i="2"/>
  <c r="K28" i="2"/>
  <c r="M28" i="2" s="1"/>
  <c r="L27" i="2"/>
  <c r="E25" i="12" s="1"/>
  <c r="K27" i="2"/>
  <c r="D25" i="12" s="1"/>
  <c r="L25" i="2"/>
  <c r="E23" i="12" s="1"/>
  <c r="K25" i="2"/>
  <c r="D23" i="12" s="1"/>
  <c r="J23" i="2"/>
  <c r="J43" i="2" s="1"/>
  <c r="J49" i="2" s="1"/>
  <c r="I23" i="2"/>
  <c r="I43" i="2" s="1"/>
  <c r="I49" i="2" s="1"/>
  <c r="H23" i="2"/>
  <c r="G23" i="2"/>
  <c r="F23" i="2"/>
  <c r="L22" i="2"/>
  <c r="E20" i="12" s="1"/>
  <c r="K22" i="2"/>
  <c r="D20" i="12" s="1"/>
  <c r="L21" i="2"/>
  <c r="E19" i="12" s="1"/>
  <c r="K21" i="2"/>
  <c r="D19" i="12" s="1"/>
  <c r="L20" i="2"/>
  <c r="K20" i="2"/>
  <c r="D18" i="12" s="1"/>
  <c r="L19" i="2"/>
  <c r="K19" i="2"/>
  <c r="D17" i="12" s="1"/>
  <c r="L18" i="2"/>
  <c r="K18" i="2"/>
  <c r="D16" i="12" s="1"/>
  <c r="F16" i="12" s="1"/>
  <c r="L17" i="2"/>
  <c r="E15" i="12" s="1"/>
  <c r="K17" i="2"/>
  <c r="D15" i="12" s="1"/>
  <c r="L16" i="2"/>
  <c r="E14" i="12" s="1"/>
  <c r="K16" i="2"/>
  <c r="D14" i="12" s="1"/>
  <c r="L15" i="2"/>
  <c r="E13" i="12" s="1"/>
  <c r="K15" i="2"/>
  <c r="D13" i="12" s="1"/>
  <c r="L14" i="2"/>
  <c r="E12" i="12" s="1"/>
  <c r="K14" i="2"/>
  <c r="D12" i="12" s="1"/>
  <c r="L13" i="2"/>
  <c r="E11" i="12" s="1"/>
  <c r="K13" i="2"/>
  <c r="D11" i="12" s="1"/>
  <c r="L12" i="2"/>
  <c r="K12" i="2"/>
  <c r="D10" i="12" s="1"/>
  <c r="F10" i="12" s="1"/>
  <c r="L11" i="2"/>
  <c r="E9" i="12" s="1"/>
  <c r="K11" i="2"/>
  <c r="D9" i="12" s="1"/>
  <c r="L10" i="2"/>
  <c r="E8" i="12" s="1"/>
  <c r="K10" i="2"/>
  <c r="L8" i="2"/>
  <c r="E6" i="12" s="1"/>
  <c r="K8" i="2"/>
  <c r="M1" i="2"/>
  <c r="I1" i="2"/>
  <c r="D1" i="2"/>
  <c r="R35" i="1"/>
  <c r="L40" i="12" s="1"/>
  <c r="R34" i="1"/>
  <c r="L39" i="12" s="1"/>
  <c r="S32" i="1"/>
  <c r="L30" i="1"/>
  <c r="L25" i="1"/>
  <c r="I23" i="1"/>
  <c r="I22" i="1"/>
  <c r="I21" i="1"/>
  <c r="R13" i="1"/>
  <c r="R6" i="1"/>
  <c r="L5" i="1"/>
  <c r="D46" i="3" l="1"/>
  <c r="J32" i="12" s="1"/>
  <c r="M19" i="2"/>
  <c r="M20" i="2"/>
  <c r="M42" i="2"/>
  <c r="C44" i="21"/>
  <c r="F34" i="21"/>
  <c r="H35" i="21"/>
  <c r="B32" i="21"/>
  <c r="D33" i="21" s="1"/>
  <c r="L13" i="16"/>
  <c r="L15" i="16" s="1"/>
  <c r="L17" i="16" s="1"/>
  <c r="L57" i="16" s="1"/>
  <c r="L23" i="16"/>
  <c r="L25" i="16"/>
  <c r="E69" i="21"/>
  <c r="H74" i="21" s="1"/>
  <c r="C78" i="21" s="1"/>
  <c r="H10" i="21"/>
  <c r="L58" i="16"/>
  <c r="F10" i="21"/>
  <c r="L44" i="2"/>
  <c r="K26" i="12" s="1"/>
  <c r="M44" i="2"/>
  <c r="L8" i="9"/>
  <c r="L27" i="12"/>
  <c r="L32" i="12"/>
  <c r="K30" i="12"/>
  <c r="M48" i="2"/>
  <c r="E37" i="12"/>
  <c r="F37" i="12" s="1"/>
  <c r="E35" i="12"/>
  <c r="F25" i="12"/>
  <c r="H43" i="2"/>
  <c r="H49" i="2" s="1"/>
  <c r="L37" i="2"/>
  <c r="P12" i="3" s="1"/>
  <c r="G43" i="2"/>
  <c r="G49" i="2" s="1"/>
  <c r="F20" i="12"/>
  <c r="F19" i="12"/>
  <c r="E18" i="12"/>
  <c r="F18" i="12" s="1"/>
  <c r="E17" i="12"/>
  <c r="F17" i="12" s="1"/>
  <c r="F15" i="12"/>
  <c r="F14" i="12"/>
  <c r="M15" i="2"/>
  <c r="F13" i="12"/>
  <c r="F12" i="12"/>
  <c r="M14" i="2"/>
  <c r="F11" i="12"/>
  <c r="F9" i="12"/>
  <c r="M10" i="2"/>
  <c r="L23" i="2"/>
  <c r="N30" i="3" s="1"/>
  <c r="M8" i="2"/>
  <c r="F43" i="2"/>
  <c r="A61" i="21"/>
  <c r="M25" i="2"/>
  <c r="M30" i="2"/>
  <c r="M22" i="2"/>
  <c r="M27" i="2"/>
  <c r="D22" i="3"/>
  <c r="M40" i="2"/>
  <c r="M18" i="2"/>
  <c r="M41" i="2"/>
  <c r="M46" i="2"/>
  <c r="M16" i="2"/>
  <c r="M13" i="2"/>
  <c r="F18" i="11"/>
  <c r="F22" i="11" s="1"/>
  <c r="D36" i="3"/>
  <c r="J31" i="12" s="1"/>
  <c r="L31" i="12" s="1"/>
  <c r="M18" i="11"/>
  <c r="O18" i="11" s="1"/>
  <c r="F39" i="11"/>
  <c r="F43" i="11" s="1"/>
  <c r="F23" i="12"/>
  <c r="M12" i="12"/>
  <c r="K19" i="12"/>
  <c r="M19" i="12" s="1"/>
  <c r="O32" i="11"/>
  <c r="M39" i="11"/>
  <c r="J30" i="12"/>
  <c r="L30" i="12" s="1"/>
  <c r="K37" i="2"/>
  <c r="M37" i="2" s="1"/>
  <c r="M45" i="2"/>
  <c r="M47" i="2"/>
  <c r="D26" i="12"/>
  <c r="F26" i="12" s="1"/>
  <c r="D34" i="12"/>
  <c r="F34" i="12" s="1"/>
  <c r="M32" i="2"/>
  <c r="M12" i="3"/>
  <c r="O9" i="11"/>
  <c r="D6" i="12"/>
  <c r="M11" i="2"/>
  <c r="M17" i="2"/>
  <c r="M12" i="2"/>
  <c r="J26" i="12"/>
  <c r="D40" i="12"/>
  <c r="F40" i="12" s="1"/>
  <c r="M34" i="2"/>
  <c r="D8" i="12"/>
  <c r="F8" i="12" s="1"/>
  <c r="M21" i="2"/>
  <c r="K23" i="2"/>
  <c r="M35" i="2"/>
  <c r="D37" i="3" l="1"/>
  <c r="L59" i="16"/>
  <c r="E9" i="21"/>
  <c r="L26" i="12"/>
  <c r="E21" i="12"/>
  <c r="E41" i="12" s="1"/>
  <c r="F49" i="2"/>
  <c r="L43" i="2"/>
  <c r="M43" i="11"/>
  <c r="O43" i="11" s="1"/>
  <c r="O39" i="11"/>
  <c r="D35" i="12"/>
  <c r="F35" i="12" s="1"/>
  <c r="M23" i="2"/>
  <c r="K43" i="2"/>
  <c r="D21" i="12"/>
  <c r="F6" i="12"/>
  <c r="C45" i="21" l="1"/>
  <c r="E47" i="21"/>
  <c r="H51" i="21"/>
  <c r="C59" i="21" s="1"/>
  <c r="H59" i="21" s="1"/>
  <c r="C77" i="21" s="1"/>
  <c r="C79" i="21" s="1"/>
  <c r="H80" i="21" s="1"/>
  <c r="H83" i="21" s="1"/>
  <c r="H9" i="21"/>
  <c r="C43" i="21"/>
  <c r="H49" i="21"/>
  <c r="C51" i="21" s="1"/>
  <c r="G43" i="21"/>
  <c r="G9" i="21"/>
  <c r="G47" i="21"/>
  <c r="F13" i="21"/>
  <c r="E45" i="21"/>
  <c r="F9" i="21"/>
  <c r="G13" i="21"/>
  <c r="C47" i="21"/>
  <c r="H13" i="21"/>
  <c r="E43" i="21"/>
  <c r="G45" i="21"/>
  <c r="H14" i="21"/>
  <c r="K25" i="12"/>
  <c r="K33" i="12" s="1"/>
  <c r="L49" i="2"/>
  <c r="J25" i="12"/>
  <c r="K49" i="2"/>
  <c r="M43" i="2"/>
  <c r="D41" i="12"/>
  <c r="F41" i="12" s="1"/>
  <c r="F21" i="12"/>
  <c r="M49" i="2" l="1"/>
  <c r="J33" i="12"/>
  <c r="L33" i="12" s="1"/>
  <c r="L25" i="12"/>
</calcChain>
</file>

<file path=xl/sharedStrings.xml><?xml version="1.0" encoding="utf-8"?>
<sst xmlns="http://schemas.openxmlformats.org/spreadsheetml/2006/main" count="936" uniqueCount="559">
  <si>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</si>
  <si>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</si>
  <si>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</si>
  <si>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</si>
  <si>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</si>
  <si>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</si>
  <si>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</si>
  <si>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</si>
  <si>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</si>
  <si>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</si>
  <si>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</si>
  <si>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</si>
  <si>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</si>
  <si>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</si>
  <si>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</si>
  <si>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</si>
  <si>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</si>
  <si>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</si>
  <si>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</si>
  <si>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</si>
  <si>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</si>
  <si>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</si>
  <si>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</si>
  <si>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</si>
  <si>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</si>
  <si>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</si>
  <si>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</si>
  <si>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</si>
  <si>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</si>
  <si>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</si>
  <si>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</si>
  <si>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</si>
  <si>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</si>
  <si>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</si>
  <si>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</si>
  <si>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Comments on average salary calculation (optional):</t>
  </si>
  <si>
    <t>Signed</t>
  </si>
  <si>
    <t>Title</t>
  </si>
  <si>
    <t xml:space="preserve">  County</t>
  </si>
  <si>
    <t>Yes</t>
  </si>
  <si>
    <t>No</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</si>
  <si>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</si>
  <si>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</si>
  <si>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</si>
  <si>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</si>
  <si>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</si>
  <si>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</si>
  <si>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</si>
  <si>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</si>
  <si>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</si>
  <si>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</si>
  <si>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</si>
  <si>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</si>
  <si>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</si>
  <si>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Pearson (Connexus)</t>
  </si>
  <si>
    <t>PowerSchool (PowerSchool)</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</si>
  <si>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</si>
  <si>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</si>
  <si>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</si>
  <si>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</si>
  <si>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</si>
  <si>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</si>
  <si>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</si>
  <si>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</si>
  <si>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</si>
  <si>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</si>
  <si>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</si>
  <si>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</si>
  <si>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</si>
  <si>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</si>
  <si>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</si>
  <si>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</si>
  <si>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</si>
  <si>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</si>
  <si>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</si>
  <si>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</si>
  <si>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</si>
  <si>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</si>
  <si>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</si>
  <si>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</si>
  <si>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</si>
  <si>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</si>
  <si>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</si>
  <si>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</si>
  <si>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</si>
  <si>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</si>
  <si>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</si>
  <si>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</si>
  <si>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</si>
  <si>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</si>
  <si>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</si>
  <si>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</si>
  <si>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</si>
  <si>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</si>
  <si>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</si>
  <si>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</si>
  <si>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</si>
  <si>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</si>
  <si>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</si>
  <si>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</si>
  <si>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</si>
  <si>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</si>
  <si>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</si>
  <si>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</si>
  <si>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</si>
  <si>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</si>
  <si>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</si>
  <si>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</si>
  <si>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</si>
  <si>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</si>
  <si>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</si>
  <si>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</si>
  <si>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</si>
  <si>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</si>
  <si>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</si>
  <si>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</si>
  <si>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</si>
  <si>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</si>
  <si>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</si>
  <si>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</si>
  <si>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</si>
  <si>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</si>
  <si>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</si>
  <si>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</si>
  <si>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</si>
  <si>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</si>
  <si>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</si>
  <si>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</si>
  <si>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</si>
  <si>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</si>
  <si>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</si>
  <si>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</si>
  <si>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</si>
  <si>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</si>
  <si>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</si>
  <si>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</si>
  <si>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</si>
  <si>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</si>
  <si>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</si>
  <si>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</si>
  <si>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</si>
  <si>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</si>
  <si>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</si>
  <si>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</si>
  <si>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</si>
  <si>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</si>
  <si>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</si>
  <si>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</si>
  <si>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</si>
  <si>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</si>
  <si>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</si>
  <si>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</si>
  <si>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</si>
  <si>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</si>
  <si>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</si>
  <si>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</si>
  <si>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</si>
  <si>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</si>
  <si>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</si>
  <si>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</si>
  <si>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</si>
  <si>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</si>
  <si>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</si>
  <si>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</si>
  <si>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</si>
  <si>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</si>
  <si>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</si>
  <si>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</si>
  <si>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</si>
  <si>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</si>
  <si>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</si>
  <si>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</si>
  <si>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</si>
  <si>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</si>
  <si>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</si>
  <si>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</si>
  <si>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</si>
  <si>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</si>
  <si>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</si>
  <si>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</si>
  <si>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</si>
  <si>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</si>
  <si>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</si>
  <si>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</si>
  <si>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</si>
  <si>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</si>
  <si>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</si>
  <si>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</si>
  <si>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</si>
  <si>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</si>
  <si>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</si>
  <si>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</si>
  <si>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</si>
  <si>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</si>
  <si>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</si>
  <si>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</si>
  <si>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</si>
  <si>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</si>
  <si>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</si>
  <si>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</si>
  <si>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</si>
  <si>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</si>
  <si>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</si>
  <si>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</si>
  <si>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</si>
  <si>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</si>
  <si>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</si>
  <si>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</si>
  <si>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</si>
  <si>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</si>
  <si>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</si>
  <si>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</si>
  <si>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</si>
  <si>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</si>
  <si>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</si>
  <si>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</si>
  <si>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</si>
  <si>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</si>
  <si>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</si>
  <si>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</si>
  <si>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</si>
  <si>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</si>
  <si>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</si>
  <si>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</si>
  <si>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</si>
  <si>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</si>
  <si>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</si>
  <si>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</si>
  <si>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</si>
  <si>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</si>
  <si>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</si>
  <si>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</si>
  <si>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</si>
  <si>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</si>
  <si>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</si>
  <si>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</si>
  <si>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</si>
  <si>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</si>
  <si>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</si>
  <si>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</si>
  <si>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</si>
  <si>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</si>
  <si>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</si>
  <si>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</si>
  <si>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</si>
  <si>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</si>
  <si>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</si>
  <si>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</si>
  <si>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</si>
  <si>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</si>
  <si>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</si>
  <si>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</si>
  <si>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</si>
  <si>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</si>
  <si>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</si>
  <si>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</si>
  <si>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</si>
  <si>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</si>
  <si>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</si>
  <si>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</si>
  <si>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</si>
  <si>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</si>
  <si>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</si>
  <si>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</si>
  <si>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</si>
  <si>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</si>
  <si>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</si>
  <si>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</si>
  <si>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</si>
  <si>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</si>
  <si>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</si>
  <si>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</si>
  <si>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</si>
  <si>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</si>
  <si>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</si>
  <si>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</si>
  <si>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</si>
  <si>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</si>
  <si>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</si>
  <si>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</si>
  <si>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</si>
  <si>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</si>
  <si>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</si>
  <si>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</si>
  <si>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</si>
  <si>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</si>
  <si>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</si>
  <si>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</si>
  <si>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</si>
  <si>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</si>
  <si>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</si>
  <si>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</si>
  <si>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</si>
  <si>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</si>
  <si>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</si>
  <si>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</si>
  <si>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</si>
  <si>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</si>
  <si>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</si>
  <si>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</si>
  <si>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</si>
  <si>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</si>
  <si>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</si>
  <si>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</si>
  <si>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</si>
  <si>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</si>
  <si>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</si>
  <si>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</si>
  <si>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</si>
  <si>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</si>
  <si>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</si>
  <si>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</si>
  <si>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</si>
  <si>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</si>
  <si>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</si>
  <si>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</si>
  <si>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</si>
  <si>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</si>
  <si>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</si>
  <si>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</si>
  <si>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</si>
  <si>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</si>
  <si>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</si>
  <si>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</si>
  <si>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</si>
  <si>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</si>
  <si>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</si>
  <si>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</si>
  <si>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</si>
  <si>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</si>
  <si>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</si>
  <si>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</si>
  <si>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</si>
  <si>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</si>
  <si>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</si>
  <si>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</si>
  <si>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</si>
  <si>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</si>
  <si>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</si>
  <si>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</si>
  <si>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</si>
  <si>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</si>
  <si>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</si>
  <si>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</si>
  <si>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</si>
  <si>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</si>
  <si>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</si>
  <si>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</si>
  <si>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</si>
  <si>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</si>
  <si>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</si>
  <si>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</si>
  <si>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</si>
  <si>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</si>
  <si>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</si>
  <si>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</si>
  <si>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</si>
  <si>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</si>
  <si>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</si>
  <si>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</si>
  <si>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</si>
  <si>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</si>
  <si>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</si>
  <si>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</si>
  <si>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</si>
  <si>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</si>
  <si>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</si>
  <si>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</si>
  <si>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</si>
  <si>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</si>
  <si>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</si>
  <si>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</si>
  <si>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</si>
  <si>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</si>
  <si>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</si>
  <si>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</si>
  <si>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</si>
  <si>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</si>
  <si>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</si>
  <si>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</si>
  <si>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</si>
  <si>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</si>
  <si>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</si>
  <si>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</si>
  <si>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</si>
  <si>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</si>
  <si>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</si>
  <si>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</si>
  <si>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</si>
  <si>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</si>
  <si>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</si>
  <si>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</si>
  <si>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</si>
  <si>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</si>
  <si>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</si>
  <si>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</si>
  <si>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</si>
  <si>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</si>
  <si>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</si>
  <si>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</si>
  <si>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</si>
  <si>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</si>
  <si>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</si>
  <si>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</si>
  <si>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</si>
  <si>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</si>
  <si>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</si>
  <si>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</si>
  <si>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</si>
  <si>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</si>
  <si>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</si>
  <si>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</si>
  <si>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</si>
  <si>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</si>
  <si>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</si>
  <si>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</si>
  <si>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</si>
  <si>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</si>
  <si>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</si>
  <si>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</si>
  <si>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</si>
  <si>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</si>
  <si>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</si>
  <si>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</si>
  <si>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</si>
  <si>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</si>
  <si>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</si>
  <si>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</si>
  <si>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</si>
  <si>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</si>
  <si>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</si>
  <si>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</si>
  <si>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</si>
  <si>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</si>
  <si>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</si>
  <si>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</si>
  <si>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</si>
  <si>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</si>
  <si>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</si>
  <si>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</si>
  <si>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</si>
  <si>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</si>
  <si>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</si>
  <si>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</si>
  <si>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</si>
  <si>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</si>
  <si>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</si>
  <si>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</si>
  <si>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</si>
  <si>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</si>
  <si>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</si>
  <si>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</si>
  <si>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</si>
  <si>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</si>
  <si>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</si>
  <si>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</si>
  <si>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</si>
  <si>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</si>
  <si>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</si>
  <si>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</si>
  <si>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</si>
  <si>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</si>
  <si>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</si>
  <si>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</si>
  <si>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</si>
  <si>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</si>
  <si>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</si>
  <si>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</si>
  <si>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</si>
  <si>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</si>
  <si>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</si>
  <si>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</si>
  <si>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Schools may use ADE's GIFT20-summary ADM report in AzEDS to estimate FY 2026 eligible student counts.</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</si>
  <si>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</si>
  <si>
    <t>Enter the increase in the capital asset accounts (intangible assets, land and land improvements, site improvements, buildings and building improvements, equipment, and construction in progress) for assets to be acquired by purchase, 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</si>
  <si>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t>Debt service amounts should include budgeted interest and redemption of principal for all programs. Interest should be budgeted expenses for object code 6850. Redemption of principal should include budgeted principal payments on finance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</si>
  <si>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finance leases and other long-term debt that will be recorded as a reduction of the related liability. </t>
  </si>
  <si>
    <t>4. a</t>
  </si>
  <si>
    <t>4. b</t>
  </si>
  <si>
    <t>4. c</t>
  </si>
  <si>
    <t>4. d</t>
  </si>
  <si>
    <t>4. e</t>
  </si>
  <si>
    <t>4. f</t>
  </si>
  <si>
    <t>4. g</t>
  </si>
  <si>
    <t>4. h</t>
  </si>
  <si>
    <t>FY 2026</t>
  </si>
  <si>
    <r>
      <t>We hereby certify that the budget for the school year 202</t>
    </r>
    <r>
      <rPr>
        <sz val="10"/>
        <rFont val="Arial"/>
        <family val="2"/>
      </rPr>
      <t>6 was</t>
    </r>
  </si>
  <si>
    <r>
      <t>Total budgeted revenues for fiscal year 202</t>
    </r>
    <r>
      <rPr>
        <sz val="10"/>
        <rFont val="Arial"/>
        <family val="2"/>
      </rPr>
      <t>5</t>
    </r>
  </si>
  <si>
    <t>Estimated revenues by source for fiscal year 2026</t>
  </si>
  <si>
    <r>
      <t>The FY 202</t>
    </r>
    <r>
      <rPr>
        <sz val="10"/>
        <rFont val="Arial"/>
        <family val="2"/>
      </rPr>
      <t>6 budget file for the version described at left will be uploaded through the</t>
    </r>
  </si>
  <si>
    <r>
      <t>Check box if the school is new and will begin operations in FY 202</t>
    </r>
    <r>
      <rPr>
        <sz val="10"/>
        <rFont val="Arial"/>
        <family val="2"/>
      </rPr>
      <t>6.</t>
    </r>
  </si>
  <si>
    <r>
      <t>1. Average salary of all teachers employed in budget year 202</t>
    </r>
    <r>
      <rPr>
        <sz val="10"/>
        <rFont val="Arial"/>
        <family val="2"/>
      </rPr>
      <t>6</t>
    </r>
  </si>
  <si>
    <r>
      <t>2. Average salary of all teachers employed in prior year 202</t>
    </r>
    <r>
      <rPr>
        <sz val="10"/>
        <rFont val="Arial"/>
        <family val="2"/>
      </rPr>
      <t>5</t>
    </r>
  </si>
  <si>
    <r>
      <t>3. Increase in average teacher salary from the prior year 202</t>
    </r>
    <r>
      <rPr>
        <sz val="10"/>
        <rFont val="Arial"/>
        <family val="2"/>
      </rPr>
      <t>5</t>
    </r>
  </si>
  <si>
    <r>
      <t>Prior year 202</t>
    </r>
    <r>
      <rPr>
        <sz val="10"/>
        <rFont val="Arial"/>
        <family val="2"/>
      </rPr>
      <t>5</t>
    </r>
  </si>
  <si>
    <r>
      <t>Budget year 202</t>
    </r>
    <r>
      <rPr>
        <sz val="10"/>
        <rFont val="Arial"/>
        <family val="2"/>
      </rPr>
      <t>6</t>
    </r>
  </si>
  <si>
    <r>
      <t>Prior year
202</t>
    </r>
    <r>
      <rPr>
        <sz val="10"/>
        <rFont val="Arial"/>
        <family val="2"/>
      </rPr>
      <t>5</t>
    </r>
  </si>
  <si>
    <r>
      <t>Budget year
202</t>
    </r>
    <r>
      <rPr>
        <sz val="10"/>
        <rFont val="Arial"/>
        <family val="2"/>
      </rPr>
      <t>6</t>
    </r>
  </si>
  <si>
    <r>
      <t>Program 200 prior year 202</t>
    </r>
    <r>
      <rPr>
        <sz val="10"/>
        <rFont val="Arial"/>
        <family val="2"/>
      </rPr>
      <t>5</t>
    </r>
  </si>
  <si>
    <r>
      <t>Program 200 budget year 202</t>
    </r>
    <r>
      <rPr>
        <sz val="10"/>
        <rFont val="Arial"/>
        <family val="2"/>
      </rPr>
      <t>6</t>
    </r>
  </si>
  <si>
    <r>
      <t>Prior year  202</t>
    </r>
    <r>
      <rPr>
        <sz val="10"/>
        <rFont val="Arial"/>
        <family val="2"/>
      </rPr>
      <t>5</t>
    </r>
  </si>
  <si>
    <r>
      <t>Average salary of all teachers employed in the budget year 20</t>
    </r>
    <r>
      <rPr>
        <sz val="10"/>
        <rFont val="Arial"/>
        <family val="2"/>
      </rPr>
      <t>26</t>
    </r>
  </si>
  <si>
    <r>
      <t>Average salary of all teachers employed in the prior year 202</t>
    </r>
    <r>
      <rPr>
        <sz val="10"/>
        <rFont val="Arial"/>
        <family val="2"/>
      </rPr>
      <t>5</t>
    </r>
  </si>
  <si>
    <r>
      <t>Increase in average teacher salary from the prior year 202</t>
    </r>
    <r>
      <rPr>
        <sz val="10"/>
        <rFont val="Arial"/>
        <family val="2"/>
      </rPr>
      <t>5</t>
    </r>
  </si>
  <si>
    <t>Estimated FY 2025 project balances and planned uses in FY 2026 and thereafter</t>
  </si>
  <si>
    <t>FY 2024 final ending project balance</t>
  </si>
  <si>
    <t>(a) FY 2025 revenues</t>
  </si>
  <si>
    <t>(b) FY 2025 expenses, indirect costs, reversions, capital acquisitions, and redemption of principal</t>
  </si>
  <si>
    <t xml:space="preserve">(b) Planned to be spent in FY 2026 </t>
  </si>
  <si>
    <t>(c) Planned to be spent in FY 2026 to support operations of other school sites within the same charter management organization</t>
  </si>
  <si>
    <t>(d) Maintained for spending after FY 2026</t>
  </si>
  <si>
    <t>Estimated FY 2025 ending project balance and planned uses</t>
  </si>
  <si>
    <t>Estimated FY 2025 ending project balance</t>
  </si>
  <si>
    <t xml:space="preserve">FY 2025 activity, year-to-date and estimated through June 30 </t>
  </si>
  <si>
    <t>This tab presents information on the amount and planned use of the Charter's project balances to increase transparency and provide decision-makers, other stakeholders, and the public more complete financial information. Other than the FY 2024 ending project balance amounts, all amounts included on this tab are estimates.</t>
  </si>
  <si>
    <r>
      <t>If the final ending project balance does not agree with the submitted FY 202</t>
    </r>
    <r>
      <rPr>
        <sz val="10"/>
        <rFont val="Arial"/>
        <family val="2"/>
      </rPr>
      <t>4 AFR, revise the AFR and resubmit to ADE</t>
    </r>
  </si>
  <si>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6 ADM20 should be used, available via ADE Connect, AzEDS Portal. Schools approved to provide at least 200 days of instruction will adjust their FY 2027 budget for discrepancies between the FY 2026 100th-day and 200th-day student counts. (The Total K-UE report is used for K-8 and/or 9-12) </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</si>
  <si>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2026 prior to June 1, 2025. Please contact ADE's School Finance account analyst team by email with questions concerning at least 200 days of instruction at SFAnalystTeam@azed.gov.</t>
    </r>
  </si>
  <si>
    <r>
      <t>FY 202</t>
    </r>
    <r>
      <rPr>
        <sz val="10"/>
        <rFont val="Arial"/>
        <family val="2"/>
      </rPr>
      <t>4 nonfederal audit service actual expense</t>
    </r>
  </si>
  <si>
    <r>
      <t>Schools must include audit costs for FY 202</t>
    </r>
    <r>
      <rPr>
        <sz val="10"/>
        <rFont val="Arial"/>
        <family val="2"/>
      </rPr>
      <t>6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</si>
  <si>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4 federal audit service actual expense</t>
    </r>
  </si>
  <si>
    <r>
      <t>Enter the amount expended for audit services in FY 202</t>
    </r>
    <r>
      <rPr>
        <sz val="10"/>
        <rFont val="Arial"/>
        <family val="2"/>
      </rPr>
      <t>4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</si>
  <si>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Schools may use ADE's FRPL20-summary ADM report and/or FRPL30-site summary ADM report in AzEDS to estimate FY 2026 eligible student counts. This weight applies to all students in schools with community eligibility.</t>
  </si>
  <si>
    <r>
      <t>Schools participating in the Arizona State Retirement System should budget at the rate of 12.</t>
    </r>
    <r>
      <rPr>
        <sz val="10"/>
        <rFont val="Arial"/>
        <family val="2"/>
      </rPr>
      <t>00 percent for covered positions. For positions subject to the Alternate Contribution Rate, schools should budget at the rate of 9.75 percent.</t>
    </r>
  </si>
  <si>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</si>
  <si>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2026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</si>
  <si>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r>
      <t>Schools receive revenues from the Classroom Site Project (CSP) each year. A.R.S. §15-977(G)(1) requires the Joint Legislative Budget Committee to calculate an estimated per pupil amount each year. For FY 202</t>
    </r>
    <r>
      <rPr>
        <sz val="10"/>
        <rFont val="Arial"/>
        <family val="2"/>
      </rPr>
      <t>6, the estimated cash payment is $842 per “Group A weighted” pupil (BSA55 Tab, Total of Non-AOI weighted student count, AOI full-time weighted student count, and AOI part-time weighted student count on row 13). The FY 2026 CSP YTD Payments Reports will be available on ADE’s website beginning in August 2025 at https://schoolfinancereports.azed.gov/. ADE uses schools' FY2026 100th day student count as reported in the schools's FY 2026 ADM20A and ADM30 reports.</t>
    </r>
    <r>
      <rPr>
        <strike/>
        <sz val="10"/>
        <rFont val="Arial"/>
        <family val="2"/>
      </rPr>
      <t xml:space="preserve">
</t>
    </r>
  </si>
  <si>
    <r>
      <t>Report FY 202</t>
    </r>
    <r>
      <rPr>
        <sz val="10"/>
        <rFont val="Arial"/>
        <family val="2"/>
      </rPr>
      <t xml:space="preserve">4 final ending project balances as reported in FY 2024 AFR. If the final ending reserve balance doesn't agree with the FY 2024 AFR, </t>
    </r>
    <r>
      <rPr>
        <u/>
        <sz val="10"/>
        <rFont val="Arial"/>
        <family val="2"/>
      </rPr>
      <t>revise the AFR and resubmit to ADE.</t>
    </r>
  </si>
  <si>
    <r>
      <t>Report FY 202</t>
    </r>
    <r>
      <rPr>
        <sz val="10"/>
        <rFont val="Arial"/>
        <family val="2"/>
      </rPr>
      <t xml:space="preserve">5 revenues. Enter actual amounts to date plus estimated amounts for the remainder of FY 2025, including all FY 2025 amounts that the charter anticipates receiving during the encumbrance period. </t>
    </r>
  </si>
  <si>
    <r>
      <t>Report FY 202</t>
    </r>
    <r>
      <rPr>
        <sz val="10"/>
        <rFont val="Arial"/>
        <family val="2"/>
      </rPr>
      <t>5 expenses, indirect costs, reversions, capital acquisitions, and redemption of principal in all projects. Enter actual amounts to date plus estimated amounts for the remainder of FY 2025, including all FY 2025 amounts that the charter anticipates spending during the encumbrance period.</t>
    </r>
  </si>
  <si>
    <r>
      <t>Report FY 202</t>
    </r>
    <r>
      <rPr>
        <sz val="10"/>
        <rFont val="Arial"/>
        <family val="2"/>
      </rPr>
      <t>5 estimated restricted ending project balance amounts. These amounts consist of donor-restricted or legally obligated resources. For-profit charter schools may report estimated appropriated retained earnings.</t>
    </r>
  </si>
  <si>
    <r>
      <t>Report FY 202</t>
    </r>
    <r>
      <rPr>
        <sz val="10"/>
        <rFont val="Arial"/>
        <family val="2"/>
      </rPr>
      <t>5 estimated unrestricted ending project balance amounts.  These are amounts available for use in general operations and not subject to donor or grantor restrictions or legal obligations. For-profit charter schools may report estimated unappropriated retained earnings.</t>
    </r>
  </si>
  <si>
    <r>
      <t>For projects with a negative estimated FY 202</t>
    </r>
    <r>
      <rPr>
        <sz val="10"/>
        <rFont val="Arial"/>
        <family val="2"/>
      </rPr>
      <t xml:space="preserve">5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</si>
  <si>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Report FY 202</t>
    </r>
    <r>
      <rPr>
        <sz val="10"/>
        <rFont val="Arial"/>
        <family val="2"/>
      </rPr>
      <t xml:space="preserve">5 estimated ending project balance amounts that the Charter plans to spend to support FY 2026 budgeted spending after using all available FY 2026 revenues. Any nonspendable amounts included in ending project balance such as current prepaid assets should be included in this line if the charter plans to use them in FY 2026. Otherwise, such nonspendable assets should be included on line 4(d) based on the charter's plan to use them to benefit a future year, as applicable. </t>
    </r>
  </si>
  <si>
    <r>
      <t>Report FY 202</t>
    </r>
    <r>
      <rPr>
        <sz val="10"/>
        <rFont val="Arial"/>
        <family val="2"/>
      </rPr>
      <t xml:space="preserve">5 estimated ending project balance amounts that the charter plans to spend in FY 2026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</si>
  <si>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Report amounts the charter estimates it will maintain for spending after FY 202</t>
    </r>
    <r>
      <rPr>
        <sz val="10"/>
        <rFont val="Arial"/>
        <family val="2"/>
      </rPr>
      <t>6, including amounts reserved to manage cash flows in future budget years to cover such things as revenue shortfalls, emergencies, and/or other unforeseen circumstances.</t>
    </r>
  </si>
  <si>
    <t>Base estimated revenues by source for FY 2026 on the best information available at the time the budget is prepared. Estimated revenues may be more or less than estimated expenses.</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</si>
  <si>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2025 budget forms. However, the cells have not been protected so users may also enter the information manually. To bring forward amounts automatically, the most recently revised FY 2025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2025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</si>
  <si>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</si>
  <si>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Added a line for schools to paste a clickable link to their web page where the proposed budget or budget summary was posted. ADE no longer requires schools to send an email to School Finance with a clickable link to its website, if the link is provided in this space.</t>
  </si>
  <si>
    <t>School's onetime CAA supplement</t>
  </si>
  <si>
    <t>School's onetime FRPL supplement</t>
  </si>
  <si>
    <t>Base Level Amount (FY26)</t>
  </si>
  <si>
    <t>Instructions</t>
  </si>
  <si>
    <t>School's State aid supplement</t>
  </si>
  <si>
    <t>Increase for State aid supplement (Laws 2025, Ch. 233, §31)</t>
  </si>
  <si>
    <t>Increase for onetime charter additional assistance (CAA) supplement (Laws 2025, Ch. 233, §31)</t>
  </si>
  <si>
    <t>Increase for onetime FRPL Group B weight supplement (Laws 2025, Ch. 233, §31)</t>
  </si>
  <si>
    <t>Laws 2025, Ch. 233, §31, provides a total onetime CAA supplement of $5,858,000. ADE will allocate and distribute the supplement on a proportional basis based on the CAA funding that each charter in this State receives in FY 2026. ADE will calculate the supplement amount for each charter and notify them when complete. This line should be left blank for budget adoption. Charters may revise their budget after notification.</t>
  </si>
  <si>
    <t>Laws 2025, Ch. 233, §31, provides a total onetime FRPL Group B weight supplement of $37,000,000. ADE will allocate and distribute the supplement on a pro rata basis using the weighted student count for FRPL students for each charter school pursuant to A.R.S. §15-943(2)(b). ADE will calculate the supplement amount for each charter school and notify them when complete. This line should be left blank for budget adoption. Charters may revise their budget after notification.</t>
  </si>
  <si>
    <t>Laws 2025, Ch. 233, §31, provides a total State aid supplement of $75,000,000 to school districts and charter schools on a pro rata basis. To estimate the increase in additional funding charters should multiply the school's percentage of State-wide weighted student count as reported on its most recent Classroom Site Project Detail Report by $75,000,000 and enter the amount in cell N103. However, actual amounts will vary. Schools should include these monies in their Schoolwide Project Budget. These monies may be expended for any allowable school purpose. Classroom Site Project Detail Reports can be accessed at https://schoolfinancereports.azed.gov.
ADE will notify schools of the final amounts. Once available, schools can access actual payment amounts at https://www.azed.gov/finance/countyappor.</t>
  </si>
  <si>
    <t>Freedom Academy Inc</t>
  </si>
  <si>
    <t>Maricopa</t>
  </si>
  <si>
    <t>078528000</t>
  </si>
  <si>
    <t>christy@christynarsi.com</t>
  </si>
  <si>
    <t>https://freedomacademyaz.org</t>
  </si>
  <si>
    <t>James Meehan</t>
  </si>
  <si>
    <t>Christina Narsi</t>
  </si>
  <si>
    <t>Quickbooks</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</si>
</sst>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9">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1">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794000061037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8458815271462"/>
        <bgColor indexed="64"/>
      </patternFill>
    </fill>
    <fill>
      <patternFill patternType="solid">
        <fgColor theme="0" tint="-0.14981536301767021"/>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8" fillId="0" borderId="0"/>
    <xf numFmtId="0" fontId="1" fillId="0" borderId="0"/>
  </cellStyleXfs>
  <cellXfs count="622">
    <xf numFmtId="0" fontId="0" fillId="0" borderId="0" xfId="0"/>
    <xf numFmtId="49" fontId="0" fillId="0" borderId="1" xfId="0" applyNumberFormat="1" applyBorder="1" applyAlignment="1" applyProtection="1">
      <alignment horizontal="center"/>
      <protection locked="0"/>
    </xf>
    <xf numFmtId="0" fontId="29" fillId="0" borderId="0" xfId="0" applyFont="1" applyAlignment="1">
      <alignment horizontal="center"/>
    </xf>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2" fillId="0" borderId="0" xfId="0" applyFont="1" applyAlignment="1">
      <alignment horizontal="left"/>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8"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2"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2" fillId="4" borderId="24" xfId="6" applyFont="1" applyFill="1" applyBorder="1" applyAlignment="1" applyProtection="1">
      <alignment horizontal="left"/>
    </xf>
    <xf numFmtId="0" fontId="32"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2" fillId="4" borderId="24" xfId="6" applyFont="1" applyFill="1" applyBorder="1" applyProtection="1"/>
    <xf numFmtId="170" fontId="0" fillId="0" borderId="24" xfId="0" applyNumberFormat="1" applyBorder="1"/>
    <xf numFmtId="0" fontId="27" fillId="0" borderId="20" xfId="0" applyFont="1" applyBorder="1"/>
    <xf numFmtId="0" fontId="27"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9" fillId="4" borderId="0" xfId="0" applyFont="1" applyFill="1"/>
    <xf numFmtId="49" fontId="40" fillId="0" borderId="0" xfId="8" applyNumberFormat="1" applyFont="1" applyAlignment="1">
      <alignment horizontal="left"/>
    </xf>
    <xf numFmtId="0" fontId="40"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4"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3"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2" fillId="0" borderId="0" xfId="0" applyFont="1"/>
    <xf numFmtId="0" fontId="21" fillId="3" borderId="0" xfId="6" applyFont="1" applyFill="1" applyAlignment="1" applyProtection="1">
      <alignment horizontal="right"/>
    </xf>
    <xf numFmtId="0" fontId="28"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0" fillId="0" borderId="0" xfId="0" applyFont="1"/>
    <xf numFmtId="0" fontId="29"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1" fillId="0" borderId="0" xfId="0" applyFont="1"/>
    <xf numFmtId="166" fontId="0" fillId="0" borderId="9" xfId="0" applyNumberFormat="1" applyBorder="1" applyAlignment="1">
      <alignment horizontal="right" vertical="top"/>
    </xf>
    <xf numFmtId="0" fontId="33"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7" fillId="0" borderId="0" xfId="6" applyFont="1" applyAlignment="1" applyProtection="1">
      <alignment horizontal="center" vertical="top"/>
    </xf>
    <xf numFmtId="0" fontId="4" fillId="0" borderId="0" xfId="6" applyAlignment="1" applyProtection="1">
      <alignment vertical="top" wrapText="1"/>
    </xf>
    <xf numFmtId="0" fontId="39"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1" fillId="4" borderId="0" xfId="0" applyFont="1" applyFill="1"/>
    <xf numFmtId="0" fontId="33" fillId="0" borderId="0" xfId="0" applyFont="1"/>
    <xf numFmtId="0" fontId="0" fillId="0" borderId="1" xfId="0" applyBorder="1" applyAlignment="1">
      <alignment horizontal="centerContinuous"/>
    </xf>
    <xf numFmtId="0" fontId="26"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7"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7" fillId="3" borderId="1" xfId="6" applyFont="1" applyFill="1" applyBorder="1" applyProtection="1"/>
    <xf numFmtId="0" fontId="24"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5" fillId="0" borderId="0" xfId="6" applyFont="1" applyAlignment="1" applyProtection="1">
      <alignment horizontal="centerContinuous"/>
    </xf>
    <xf numFmtId="0" fontId="24" fillId="0" borderId="0" xfId="6" applyFont="1" applyAlignment="1" applyProtection="1">
      <alignment horizontal="centerContinuous"/>
    </xf>
    <xf numFmtId="0" fontId="8" fillId="3" borderId="0" xfId="6" applyFont="1" applyFill="1" applyAlignment="1" applyProtection="1">
      <alignment horizontal="centerContinuous"/>
    </xf>
    <xf numFmtId="0" fontId="25"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7"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7"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7"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8" fillId="3" borderId="0" xfId="6" applyFont="1" applyFill="1" applyAlignment="1" applyProtection="1">
      <alignment horizontal="left" vertical="center"/>
    </xf>
    <xf numFmtId="0" fontId="30" fillId="3" borderId="0" xfId="6" applyFont="1" applyFill="1" applyProtection="1"/>
    <xf numFmtId="0" fontId="37" fillId="3" borderId="0" xfId="6" applyFont="1" applyFill="1" applyProtection="1"/>
    <xf numFmtId="0" fontId="25" fillId="3" borderId="0" xfId="6" applyFont="1" applyFill="1" applyProtection="1"/>
    <xf numFmtId="0" fontId="38" fillId="3" borderId="0" xfId="6" applyFont="1" applyFill="1" applyAlignment="1" applyProtection="1">
      <alignment vertical="center"/>
    </xf>
    <xf numFmtId="0" fontId="25" fillId="0" borderId="0" xfId="6" applyFont="1" applyProtection="1"/>
    <xf numFmtId="38" fontId="0" fillId="0" borderId="31" xfId="0" applyNumberFormat="1" applyBorder="1" applyAlignment="1">
      <alignment vertical="center"/>
    </xf>
    <xf numFmtId="0" fontId="28" fillId="3" borderId="0" xfId="6" applyFont="1" applyFill="1" applyAlignment="1" applyProtection="1">
      <alignment vertical="center"/>
    </xf>
    <xf numFmtId="38" fontId="33" fillId="0" borderId="0" xfId="0" applyNumberFormat="1" applyFont="1"/>
    <xf numFmtId="164" fontId="33" fillId="0" borderId="0" xfId="0" applyNumberFormat="1" applyFont="1" applyAlignment="1">
      <alignment horizontal="right" vertical="center"/>
    </xf>
    <xf numFmtId="0" fontId="2" fillId="0" borderId="0" xfId="6" applyFont="1" applyAlignment="1" applyProtection="1">
      <alignment horizontal="centerContinuous" vertical="center"/>
    </xf>
    <xf numFmtId="0" fontId="28"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7" fillId="3" borderId="18" xfId="6" applyFont="1" applyFill="1" applyBorder="1" applyProtection="1"/>
    <xf numFmtId="0" fontId="24"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6"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7"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4" fillId="3" borderId="32" xfId="6" applyFont="1" applyFill="1" applyBorder="1" applyProtection="1"/>
    <xf numFmtId="164" fontId="0" fillId="0" borderId="32" xfId="0" applyNumberFormat="1" applyBorder="1"/>
    <xf numFmtId="49" fontId="22" fillId="0" borderId="1" xfId="0" applyNumberFormat="1" applyFont="1" applyBorder="1"/>
    <xf numFmtId="0" fontId="22" fillId="0" borderId="32" xfId="0" applyFont="1" applyBorder="1"/>
    <xf numFmtId="0" fontId="22" fillId="0" borderId="8" xfId="0" applyFont="1" applyBorder="1" applyAlignment="1">
      <alignment horizontal="center"/>
    </xf>
    <xf numFmtId="0" fontId="22" fillId="0" borderId="18" xfId="0" applyFont="1" applyBorder="1"/>
    <xf numFmtId="0" fontId="22" fillId="0" borderId="13" xfId="0" applyFont="1" applyBorder="1" applyAlignment="1">
      <alignment horizontal="center"/>
    </xf>
    <xf numFmtId="0" fontId="22" fillId="0" borderId="5" xfId="0" applyFont="1" applyBorder="1" applyAlignment="1">
      <alignment horizontal="center"/>
    </xf>
    <xf numFmtId="38" fontId="22" fillId="0" borderId="2" xfId="0" applyNumberFormat="1" applyFont="1" applyBorder="1"/>
    <xf numFmtId="166" fontId="0" fillId="0" borderId="8" xfId="0" applyNumberFormat="1" applyBorder="1"/>
    <xf numFmtId="0" fontId="22" fillId="0" borderId="8" xfId="0" applyFont="1" applyBorder="1"/>
    <xf numFmtId="0" fontId="22" fillId="0" borderId="28" xfId="0" applyFont="1" applyBorder="1"/>
    <xf numFmtId="38" fontId="22" fillId="0" borderId="7" xfId="0" applyNumberFormat="1" applyFont="1" applyBorder="1"/>
    <xf numFmtId="0" fontId="22" fillId="0" borderId="0" xfId="0" applyFont="1" applyAlignment="1">
      <alignment vertical="center" wrapText="1"/>
    </xf>
    <xf numFmtId="38" fontId="22" fillId="0" borderId="3" xfId="0" applyNumberFormat="1" applyFont="1" applyBorder="1"/>
    <xf numFmtId="0" fontId="22" fillId="0" borderId="33" xfId="0" applyFont="1" applyBorder="1"/>
    <xf numFmtId="0" fontId="2" fillId="0" borderId="18" xfId="0" applyFont="1" applyBorder="1" applyAlignment="1">
      <alignment horizontal="left"/>
    </xf>
    <xf numFmtId="0" fontId="23" fillId="0" borderId="0" xfId="0" applyFont="1" applyAlignment="1">
      <alignment horizontal="left"/>
    </xf>
    <xf numFmtId="0" fontId="22" fillId="0" borderId="13" xfId="0" applyFont="1" applyBorder="1"/>
    <xf numFmtId="0" fontId="23" fillId="0" borderId="7" xfId="0" applyFont="1" applyBorder="1" applyAlignment="1">
      <alignment horizontal="left"/>
    </xf>
    <xf numFmtId="0" fontId="23" fillId="0" borderId="1" xfId="0" applyFont="1" applyBorder="1" applyAlignment="1">
      <alignment horizontal="left"/>
    </xf>
    <xf numFmtId="0" fontId="22" fillId="0" borderId="5" xfId="0" applyFont="1" applyBorder="1"/>
    <xf numFmtId="38" fontId="22" fillId="0" borderId="8" xfId="0" applyNumberFormat="1" applyFont="1" applyBorder="1"/>
    <xf numFmtId="0" fontId="22" fillId="0" borderId="0" xfId="0" applyFont="1" applyAlignment="1">
      <alignment horizontal="left"/>
    </xf>
    <xf numFmtId="38" fontId="22" fillId="0" borderId="0" xfId="0" applyNumberFormat="1" applyFont="1"/>
    <xf numFmtId="0" fontId="22" fillId="0" borderId="7" xfId="0" applyFont="1" applyBorder="1"/>
    <xf numFmtId="0" fontId="22" fillId="0" borderId="1" xfId="0" applyFont="1" applyBorder="1"/>
    <xf numFmtId="38" fontId="22" fillId="0" borderId="26" xfId="0" applyNumberFormat="1" applyFont="1" applyBorder="1"/>
    <xf numFmtId="38" fontId="22" fillId="0" borderId="18" xfId="0" applyNumberFormat="1" applyFont="1" applyBorder="1"/>
    <xf numFmtId="0" fontId="23" fillId="0" borderId="18" xfId="0" applyFont="1" applyBorder="1"/>
    <xf numFmtId="0" fontId="22" fillId="0" borderId="14" xfId="0" applyFont="1" applyBorder="1"/>
    <xf numFmtId="0" fontId="22" fillId="0" borderId="9" xfId="0" applyFont="1" applyBorder="1"/>
    <xf numFmtId="0" fontId="29" fillId="0" borderId="0" xfId="0" applyFont="1" applyAlignment="1">
      <alignment vertical="top" wrapText="1"/>
    </xf>
    <xf numFmtId="0" fontId="22" fillId="0" borderId="0" xfId="0" applyFont="1" applyAlignment="1">
      <alignment horizontal="center"/>
    </xf>
    <xf numFmtId="0" fontId="22" fillId="0" borderId="27" xfId="0" applyFont="1" applyBorder="1"/>
    <xf numFmtId="0" fontId="22" fillId="0" borderId="0" xfId="0" applyFont="1" applyAlignment="1">
      <alignment vertical="top"/>
    </xf>
    <xf numFmtId="0" fontId="22" fillId="0" borderId="0" xfId="0" applyFont="1" applyAlignment="1">
      <alignment horizontal="right"/>
    </xf>
    <xf numFmtId="0" fontId="35" fillId="0" borderId="0" xfId="0" applyFont="1"/>
    <xf numFmtId="0" fontId="35" fillId="0" borderId="1" xfId="0" applyFont="1" applyBorder="1" applyAlignment="1">
      <alignment horizontal="left"/>
    </xf>
    <xf numFmtId="0" fontId="35" fillId="0" borderId="0" xfId="0" applyFont="1" applyAlignment="1">
      <alignment horizontal="left"/>
    </xf>
    <xf numFmtId="0" fontId="14" fillId="0" borderId="0" xfId="0" applyFont="1" applyAlignment="1">
      <alignment horizontal="left"/>
    </xf>
    <xf numFmtId="0" fontId="36" fillId="0" borderId="0" xfId="0" applyFont="1" applyAlignment="1">
      <alignment horizontal="center" vertical="top"/>
    </xf>
    <xf numFmtId="0" fontId="35"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1"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7"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8"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7"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0" fontId="27" fillId="7" borderId="0" xfId="6" applyFont="1" applyFill="1" applyAlignment="1" applyProtection="1">
      <alignment horizontal="center" vertical="top"/>
    </xf>
    <xf numFmtId="0" fontId="39"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8"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7" fillId="0" borderId="0" xfId="6" applyFont="1" applyFill="1" applyAlignment="1" applyProtection="1">
      <alignment horizontal="center" vertical="top" wrapText="1"/>
    </xf>
    <xf numFmtId="0" fontId="27" fillId="0" borderId="0" xfId="6" applyFont="1" applyFill="1" applyAlignment="1" applyProtection="1">
      <alignment horizontal="center" vertical="top"/>
    </xf>
    <xf numFmtId="0" fontId="0" fillId="0" borderId="0" xfId="6" applyFont="1" applyFill="1" applyAlignment="1" applyProtection="1">
      <alignment vertical="top" wrapText="1"/>
    </xf>
    <xf numFmtId="0" fontId="45" fillId="0" borderId="0" xfId="10" applyFont="1" applyAlignment="1">
      <alignment horizontal="right"/>
    </xf>
    <xf numFmtId="179" fontId="35" fillId="2" borderId="0" xfId="10" applyNumberFormat="1" applyFont="1" applyFill="1"/>
    <xf numFmtId="0" fontId="35" fillId="0" borderId="0" xfId="10" applyFont="1"/>
    <xf numFmtId="0" fontId="0" fillId="0" borderId="1" xfId="11" applyFont="1" applyBorder="1" applyAlignment="1">
      <alignment horizontal="center"/>
    </xf>
    <xf numFmtId="0" fontId="35" fillId="0" borderId="0" xfId="10" applyFont="1" applyAlignment="1">
      <alignment horizontal="center"/>
    </xf>
    <xf numFmtId="0" fontId="35" fillId="0" borderId="0" xfId="8" applyFont="1"/>
    <xf numFmtId="37" fontId="45" fillId="0" borderId="0" xfId="8" applyNumberFormat="1" applyFont="1" applyAlignment="1">
      <alignment horizontal="left"/>
    </xf>
    <xf numFmtId="0" fontId="45" fillId="8" borderId="3" xfId="0" applyFont="1" applyFill="1" applyBorder="1" applyAlignment="1">
      <alignment horizontal="center" wrapText="1"/>
    </xf>
    <xf numFmtId="0" fontId="45" fillId="0" borderId="0" xfId="0" applyFont="1" applyAlignment="1">
      <alignment horizontal="left" vertical="top"/>
    </xf>
    <xf numFmtId="0" fontId="45" fillId="0" borderId="0" xfId="0" applyFont="1" applyAlignment="1">
      <alignment wrapText="1"/>
    </xf>
    <xf numFmtId="0" fontId="35" fillId="0" borderId="0" xfId="0" quotePrefix="1" applyFont="1" applyAlignment="1">
      <alignment horizontal="right"/>
    </xf>
    <xf numFmtId="37" fontId="35"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5" fillId="0" borderId="0" xfId="0" applyFont="1" applyAlignment="1">
      <alignment horizontal="left" vertical="top"/>
    </xf>
    <xf numFmtId="37" fontId="35" fillId="0" borderId="0" xfId="0" applyNumberFormat="1" applyFont="1" applyAlignment="1">
      <alignment wrapText="1"/>
    </xf>
    <xf numFmtId="0" fontId="0" fillId="0" borderId="0" xfId="0" quotePrefix="1" applyAlignment="1">
      <alignment horizontal="left"/>
    </xf>
    <xf numFmtId="37" fontId="35" fillId="0" borderId="9" xfId="0" applyNumberFormat="1" applyFont="1" applyBorder="1"/>
    <xf numFmtId="37" fontId="35" fillId="0" borderId="3" xfId="0" applyNumberFormat="1" applyFont="1" applyBorder="1"/>
    <xf numFmtId="49" fontId="35" fillId="0" borderId="0" xfId="6" applyNumberFormat="1" applyFont="1" applyFill="1" applyAlignment="1" applyProtection="1">
      <alignment horizontal="center" vertical="top"/>
    </xf>
    <xf numFmtId="37" fontId="35" fillId="0" borderId="0" xfId="0" applyNumberFormat="1" applyFont="1"/>
    <xf numFmtId="0" fontId="35" fillId="0" borderId="0" xfId="0" applyFont="1" applyAlignment="1">
      <alignment horizontal="right"/>
    </xf>
    <xf numFmtId="0" fontId="35" fillId="0" borderId="1" xfId="10" applyFont="1" applyBorder="1" applyAlignment="1">
      <alignment horizontal="left"/>
    </xf>
    <xf numFmtId="49" fontId="35" fillId="0" borderId="1" xfId="10" applyNumberFormat="1" applyFont="1" applyBorder="1"/>
    <xf numFmtId="0" fontId="0" fillId="7" borderId="0" xfId="0" applyFill="1" applyAlignment="1">
      <alignment vertical="top" wrapText="1"/>
    </xf>
    <xf numFmtId="0" fontId="46" fillId="0" borderId="0" xfId="8" applyFont="1"/>
    <xf numFmtId="0" fontId="46" fillId="0" borderId="0" xfId="8" applyFont="1" applyAlignment="1">
      <alignment horizontal="center"/>
    </xf>
    <xf numFmtId="0" fontId="46" fillId="0" borderId="0" xfId="8" applyFont="1" applyAlignment="1">
      <alignment horizontal="right"/>
    </xf>
    <xf numFmtId="0" fontId="39"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3" fillId="0" borderId="0" xfId="0" applyFont="1" applyAlignment="1">
      <alignment horizontal="left" wrapText="1"/>
    </xf>
    <xf numFmtId="0" fontId="0" fillId="0" borderId="0" xfId="0" quotePrefix="1" applyAlignment="1">
      <alignment vertical="top"/>
    </xf>
    <xf numFmtId="0" fontId="0" fillId="0" borderId="3" xfId="0" applyBorder="1" applyAlignment="1">
      <alignment horizontal="center" wrapText="1"/>
    </xf>
    <xf numFmtId="0" fontId="27" fillId="3" borderId="0" xfId="6" quotePrefix="1" applyFont="1" applyFill="1" applyProtection="1"/>
    <xf numFmtId="0" fontId="0" fillId="0" borderId="0" xfId="0" applyAlignment="1">
      <alignment horizontal="left" vertical="top"/>
    </xf>
    <xf numFmtId="0" fontId="31" fillId="4" borderId="0" xfId="0" applyFont="1" applyFill="1" applyAlignment="1">
      <alignment vertical="center"/>
    </xf>
    <xf numFmtId="0" fontId="0" fillId="7" borderId="0" xfId="6" applyFont="1" applyFill="1" applyAlignment="1" applyProtection="1">
      <alignment vertical="top" wrapText="1"/>
    </xf>
    <xf numFmtId="0" fontId="17" fillId="7" borderId="0" xfId="0" applyFont="1" applyFill="1" applyAlignment="1">
      <alignment vertical="top" wrapText="1"/>
    </xf>
    <xf numFmtId="0" fontId="0" fillId="7" borderId="0" xfId="0" applyFill="1"/>
    <xf numFmtId="177" fontId="2" fillId="7" borderId="0" xfId="8" applyNumberFormat="1" applyFont="1" applyFill="1" applyAlignment="1">
      <alignment horizontal="left"/>
    </xf>
    <xf numFmtId="0" fontId="0" fillId="7" borderId="0" xfId="0" applyFill="1" applyAlignment="1">
      <alignment horizontal="right"/>
    </xf>
    <xf numFmtId="177" fontId="0" fillId="7" borderId="25" xfId="2" applyNumberFormat="1" applyFont="1" applyFill="1" applyBorder="1" applyAlignment="1" applyProtection="1">
      <alignment horizontal="left"/>
    </xf>
    <xf numFmtId="0" fontId="0" fillId="7" borderId="25" xfId="8" applyFont="1" applyFill="1" applyBorder="1" applyAlignment="1">
      <alignment horizontal="right"/>
    </xf>
    <xf numFmtId="172" fontId="0" fillId="7" borderId="0" xfId="8" applyNumberFormat="1" applyFont="1" applyFill="1"/>
    <xf numFmtId="0" fontId="4" fillId="0" borderId="0" xfId="6" applyAlignment="1" applyProtection="1">
      <alignment vertical="center"/>
    </xf>
    <xf numFmtId="0" fontId="28" fillId="3" borderId="32" xfId="6" applyFont="1" applyFill="1" applyBorder="1" applyAlignment="1" applyProtection="1">
      <alignment horizontal="center" vertical="center"/>
    </xf>
    <xf numFmtId="0" fontId="28" fillId="3" borderId="0" xfId="6" applyFont="1" applyFill="1" applyAlignment="1" applyProtection="1">
      <alignment horizontal="center" vertical="center"/>
    </xf>
    <xf numFmtId="0" fontId="28" fillId="3" borderId="1" xfId="6" applyFont="1" applyFill="1" applyBorder="1" applyAlignment="1" applyProtection="1">
      <alignment horizontal="center" vertical="center"/>
    </xf>
    <xf numFmtId="0" fontId="27" fillId="3" borderId="0" xfId="6" applyFont="1" applyFill="1" applyAlignment="1" applyProtection="1">
      <alignment horizontal="left"/>
    </xf>
    <xf numFmtId="0" fontId="7" fillId="3" borderId="0" xfId="6" applyFont="1" applyFill="1" applyBorder="1" applyAlignment="1" applyProtection="1">
      <alignment horizontal="left"/>
    </xf>
    <xf numFmtId="0" fontId="29" fillId="0" borderId="0" xfId="0" applyFont="1" applyAlignment="1">
      <alignment horizontal="center"/>
    </xf>
    <xf numFmtId="0" fontId="0" fillId="0" borderId="1" xfId="0" applyBorder="1" applyAlignment="1" applyProtection="1">
      <alignment horizontal="center"/>
      <protection locked="0"/>
    </xf>
    <xf numFmtId="0" fontId="0" fillId="0" borderId="32" xfId="0" applyBorder="1" applyAlignment="1">
      <alignment horizontal="center"/>
    </xf>
    <xf numFmtId="0" fontId="0" fillId="0" borderId="1" xfId="0" applyBorder="1" applyProtection="1">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49" fontId="0" fillId="0" borderId="1" xfId="0" applyNumberFormat="1" applyBorder="1" applyProtection="1">
      <protection locked="0"/>
    </xf>
    <xf numFmtId="167" fontId="0" fillId="0" borderId="9" xfId="0" applyNumberFormat="1" applyBorder="1" applyAlignment="1" applyProtection="1">
      <alignment horizontal="left"/>
      <protection locked="0"/>
    </xf>
    <xf numFmtId="0" fontId="28" fillId="3" borderId="0" xfId="6" applyFont="1" applyFill="1" applyBorder="1" applyAlignment="1" applyProtection="1">
      <alignment horizontal="center" vertical="center"/>
    </xf>
    <xf numFmtId="49" fontId="0" fillId="0" borderId="1" xfId="0" applyNumberFormat="1" applyBorder="1" applyAlignment="1" applyProtection="1">
      <alignment horizontal="center"/>
      <protection locked="0"/>
    </xf>
    <xf numFmtId="0" fontId="0" fillId="0" borderId="1" xfId="0" applyBorder="1" applyAlignment="1" applyProtection="1">
      <alignment horizontal="left"/>
      <protection locked="0"/>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1"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27" fillId="3" borderId="0" xfId="6" applyFont="1" applyFill="1" applyBorder="1" applyAlignment="1" applyProtection="1">
      <alignment horizontal="left"/>
    </xf>
    <xf numFmtId="0" fontId="2" fillId="0" borderId="0" xfId="0" applyFont="1" applyAlignment="1">
      <alignment horizontal="center"/>
    </xf>
    <xf numFmtId="0" fontId="4" fillId="0" borderId="13" xfId="6" applyBorder="1" applyAlignment="1" applyProtection="1">
      <alignment horizontal="center" vertical="center"/>
    </xf>
    <xf numFmtId="0" fontId="0" fillId="0" borderId="5" xfId="0" applyBorder="1" applyAlignment="1" applyProtection="1">
      <alignment horizontal="left"/>
      <protection locked="0"/>
    </xf>
    <xf numFmtId="0" fontId="7" fillId="3" borderId="0" xfId="6" applyFont="1" applyFill="1" applyAlignment="1" applyProtection="1">
      <alignment horizontal="right"/>
    </xf>
    <xf numFmtId="0" fontId="43"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1" xfId="0" applyBorder="1" applyAlignment="1">
      <alignment horizontal="left"/>
    </xf>
    <xf numFmtId="49" fontId="0" fillId="0" borderId="1" xfId="0" applyNumberFormat="1" applyBorder="1" applyAlignment="1">
      <alignment horizontal="center"/>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8" fillId="3" borderId="0" xfId="6" applyFont="1" applyFill="1" applyAlignment="1" applyProtection="1">
      <alignment horizontal="right"/>
    </xf>
    <xf numFmtId="0" fontId="42" fillId="3" borderId="0" xfId="6" applyFont="1" applyFill="1" applyAlignment="1" applyProtection="1">
      <alignment horizontal="right"/>
    </xf>
    <xf numFmtId="0" fontId="0" fillId="0" borderId="3" xfId="0" applyBorder="1" applyAlignment="1">
      <alignment horizontal="center" wrapText="1"/>
    </xf>
    <xf numFmtId="0" fontId="24" fillId="3" borderId="0" xfId="6" applyFont="1" applyFill="1" applyAlignment="1" applyProtection="1">
      <alignment horizontal="left" vertical="top" wrapText="1"/>
    </xf>
    <xf numFmtId="0" fontId="28" fillId="3" borderId="0" xfId="6" applyFont="1" applyFill="1" applyAlignment="1" applyProtection="1">
      <alignment horizontal="center" vertical="center"/>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4" fillId="0" borderId="0" xfId="6" applyAlignment="1" applyProtection="1">
      <alignment horizontal="center" vertical="center"/>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2" fillId="0" borderId="28" xfId="0" applyFont="1" applyBorder="1" applyAlignment="1">
      <alignment horizontal="center"/>
    </xf>
    <xf numFmtId="0" fontId="22" fillId="0" borderId="33" xfId="0" applyFont="1" applyBorder="1" applyAlignment="1">
      <alignment horizontal="center"/>
    </xf>
    <xf numFmtId="0" fontId="22" fillId="0" borderId="14" xfId="0" applyFont="1" applyBorder="1" applyAlignment="1">
      <alignment horizontal="center"/>
    </xf>
    <xf numFmtId="0" fontId="22" fillId="0" borderId="27" xfId="0" applyFont="1" applyBorder="1" applyAlignment="1">
      <alignment horizontal="center"/>
    </xf>
    <xf numFmtId="0" fontId="0" fillId="0" borderId="7" xfId="0" applyBorder="1" applyAlignment="1">
      <alignment horizontal="left"/>
    </xf>
    <xf numFmtId="0" fontId="0" fillId="0" borderId="3" xfId="0" applyBorder="1" applyAlignment="1">
      <alignment horizontal="left"/>
    </xf>
    <xf numFmtId="38" fontId="22" fillId="0" borderId="14" xfId="0" applyNumberFormat="1" applyFont="1" applyBorder="1" applyAlignment="1">
      <alignment horizontal="center"/>
    </xf>
    <xf numFmtId="38" fontId="22" fillId="0" borderId="27" xfId="0" applyNumberFormat="1" applyFont="1" applyBorder="1" applyAlignment="1">
      <alignment horizontal="center"/>
    </xf>
    <xf numFmtId="0" fontId="29" fillId="0" borderId="0" xfId="0" applyFont="1" applyAlignment="1">
      <alignment horizontal="center" vertical="top" wrapText="1"/>
    </xf>
    <xf numFmtId="0" fontId="22" fillId="0" borderId="28" xfId="0" applyFont="1" applyBorder="1" applyAlignment="1">
      <alignment horizontal="left" vertical="top" wrapText="1"/>
    </xf>
    <xf numFmtId="0" fontId="22" fillId="0" borderId="32" xfId="0" applyFont="1" applyBorder="1" applyAlignment="1">
      <alignment horizontal="left" vertical="top" wrapText="1"/>
    </xf>
    <xf numFmtId="0" fontId="22" fillId="0" borderId="33" xfId="0" applyFont="1" applyBorder="1" applyAlignment="1">
      <alignment horizontal="left" vertical="top" wrapText="1"/>
    </xf>
    <xf numFmtId="0" fontId="22" fillId="0" borderId="18" xfId="0" applyFont="1" applyBorder="1" applyAlignment="1">
      <alignment horizontal="left" vertical="top" wrapText="1"/>
    </xf>
    <xf numFmtId="0" fontId="22" fillId="0" borderId="0" xfId="0" applyFont="1" applyAlignment="1">
      <alignment horizontal="left" vertical="top" wrapText="1"/>
    </xf>
    <xf numFmtId="0" fontId="22" fillId="0" borderId="13" xfId="0" applyFont="1" applyBorder="1" applyAlignment="1">
      <alignment horizontal="left" vertical="top" wrapText="1"/>
    </xf>
    <xf numFmtId="0" fontId="22" fillId="0" borderId="7" xfId="0" applyFont="1" applyBorder="1" applyAlignment="1">
      <alignment horizontal="left" vertical="top" wrapText="1"/>
    </xf>
    <xf numFmtId="0" fontId="22" fillId="0" borderId="1" xfId="0" applyFont="1" applyBorder="1" applyAlignment="1">
      <alignment horizontal="left" vertical="top" wrapText="1"/>
    </xf>
    <xf numFmtId="0" fontId="22" fillId="0" borderId="5" xfId="0" applyFont="1" applyBorder="1" applyAlignment="1">
      <alignment horizontal="left" vertical="top" wrapText="1"/>
    </xf>
    <xf numFmtId="37" fontId="2" fillId="0" borderId="0" xfId="8" applyNumberFormat="1" applyFont="1" applyAlignment="1">
      <alignment horizontal="left" wrapText="1"/>
    </xf>
    <xf numFmtId="0" fontId="2" fillId="0" borderId="0" xfId="0" applyFont="1"/>
    <xf numFmtId="37" fontId="35" fillId="0" borderId="28" xfId="0" applyNumberFormat="1" applyFont="1" applyBorder="1" applyAlignment="1" applyProtection="1">
      <alignment horizontal="left" vertical="top" wrapText="1"/>
      <protection locked="0"/>
    </xf>
    <xf numFmtId="37" fontId="35" fillId="0" borderId="32" xfId="0" applyNumberFormat="1" applyFont="1" applyBorder="1" applyAlignment="1" applyProtection="1">
      <alignment horizontal="left" vertical="top" wrapText="1"/>
      <protection locked="0"/>
    </xf>
    <xf numFmtId="37" fontId="35" fillId="0" borderId="33" xfId="0" applyNumberFormat="1" applyFont="1" applyBorder="1" applyAlignment="1" applyProtection="1">
      <alignment horizontal="left" vertical="top" wrapText="1"/>
      <protection locked="0"/>
    </xf>
    <xf numFmtId="37" fontId="35" fillId="0" borderId="18" xfId="0" applyNumberFormat="1" applyFont="1" applyBorder="1" applyAlignment="1" applyProtection="1">
      <alignment horizontal="left" vertical="top" wrapText="1"/>
      <protection locked="0"/>
    </xf>
    <xf numFmtId="37" fontId="35" fillId="0" borderId="0" xfId="0" applyNumberFormat="1" applyFont="1" applyAlignment="1" applyProtection="1">
      <alignment horizontal="left" vertical="top" wrapText="1"/>
      <protection locked="0"/>
    </xf>
    <xf numFmtId="37" fontId="35" fillId="0" borderId="13" xfId="0" applyNumberFormat="1" applyFont="1" applyBorder="1" applyAlignment="1" applyProtection="1">
      <alignment horizontal="left" vertical="top" wrapText="1"/>
      <protection locked="0"/>
    </xf>
    <xf numFmtId="37" fontId="35" fillId="0" borderId="7" xfId="0" applyNumberFormat="1" applyFont="1" applyBorder="1" applyAlignment="1" applyProtection="1">
      <alignment horizontal="left" vertical="top" wrapText="1"/>
      <protection locked="0"/>
    </xf>
    <xf numFmtId="37" fontId="35" fillId="0" borderId="1" xfId="0" applyNumberFormat="1" applyFont="1" applyBorder="1" applyAlignment="1" applyProtection="1">
      <alignment horizontal="left" vertical="top" wrapText="1"/>
      <protection locked="0"/>
    </xf>
    <xf numFmtId="37" fontId="35" fillId="0" borderId="5" xfId="0" applyNumberFormat="1" applyFont="1" applyBorder="1" applyAlignment="1" applyProtection="1">
      <alignment horizontal="left" vertical="top" wrapText="1"/>
      <protection locked="0"/>
    </xf>
    <xf numFmtId="0" fontId="14" fillId="7" borderId="0" xfId="0" applyFont="1" applyFill="1" applyAlignment="1">
      <alignment horizontal="left" vertical="top" wrapText="1"/>
    </xf>
    <xf numFmtId="0" fontId="0" fillId="9" borderId="0" xfId="0" applyFill="1" applyAlignment="1">
      <alignment horizontal="left" vertical="top"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0" fontId="0" fillId="10" borderId="0" xfId="0" applyFill="1" applyAlignment="1">
      <alignment horizontal="left" vertical="top" wrapText="1"/>
    </xf>
    <xf numFmtId="0" fontId="33" fillId="0" borderId="0" xfId="0" applyFont="1" applyAlignment="1">
      <alignment horizontal="left"/>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0" fontId="0" fillId="0" borderId="3" xfId="0" applyBorder="1" applyAlignment="1">
      <alignment horizontal="left" vertical="center" wrapText="1"/>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applyAlignment="1">
      <alignment horizontal="right"/>
    </xf>
    <xf numFmtId="178" fontId="0" fillId="0" borderId="27" xfId="0" applyNumberFormat="1" applyBorder="1" applyAlignment="1">
      <alignment horizontal="right"/>
    </xf>
    <xf numFmtId="178" fontId="0" fillId="0" borderId="1" xfId="0" applyNumberFormat="1" applyBorder="1" applyProtection="1">
      <protection locked="0"/>
    </xf>
    <xf numFmtId="178" fontId="0" fillId="0" borderId="5" xfId="0" applyNumberFormat="1" applyBorder="1" applyProtection="1">
      <protection locked="0"/>
    </xf>
    <xf numFmtId="0" fontId="0" fillId="0" borderId="9" xfId="0" applyBorder="1" applyAlignment="1">
      <alignment horizont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0" fontId="14" fillId="0" borderId="0" xfId="0" applyFont="1" applyAlignment="1">
      <alignment horizontal="left" vertical="top" wrapText="1"/>
    </xf>
    <xf numFmtId="0" fontId="33"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3" xfId="0" applyBorder="1" applyAlignment="1">
      <alignment horizontal="left"/>
    </xf>
    <xf numFmtId="0" fontId="22" fillId="0" borderId="3" xfId="0" applyFont="1" applyBorder="1" applyAlignment="1" applyProtection="1">
      <alignment horizontal="left" vertical="center" wrapText="1"/>
      <protection locked="0"/>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3" fillId="0" borderId="3" xfId="0" applyFont="1" applyBorder="1" applyAlignment="1" applyProtection="1">
      <alignment horizontal="center"/>
      <protection locked="0"/>
    </xf>
    <xf numFmtId="0" fontId="33" fillId="0" borderId="3" xfId="0" applyFont="1" applyBorder="1" applyAlignment="1" applyProtection="1">
      <alignment horizontal="center" vertical="center"/>
      <protection locked="0"/>
    </xf>
    <xf numFmtId="0" fontId="33" fillId="0" borderId="14" xfId="0" applyFont="1" applyBorder="1" applyAlignment="1" applyProtection="1">
      <alignment horizontal="center"/>
      <protection locked="0"/>
    </xf>
    <xf numFmtId="0" fontId="33" fillId="0" borderId="9" xfId="0" applyFont="1" applyBorder="1" applyAlignment="1" applyProtection="1">
      <alignment horizontal="center"/>
      <protection locked="0"/>
    </xf>
    <xf numFmtId="0" fontId="33" fillId="0" borderId="27" xfId="0" applyFont="1" applyBorder="1" applyAlignment="1" applyProtection="1">
      <alignment horizontal="center"/>
      <protection locked="0"/>
    </xf>
    <xf numFmtId="0" fontId="0" fillId="0" borderId="0" xfId="0" applyAlignment="1">
      <alignment horizontal="left" wrapText="1"/>
    </xf>
    <xf numFmtId="0" fontId="0" fillId="0" borderId="13" xfId="0" applyBorder="1" applyAlignment="1">
      <alignment horizontal="left"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178" fontId="0" fillId="0" borderId="9" xfId="0" applyNumberFormat="1" applyBorder="1" applyProtection="1">
      <protection locked="0"/>
    </xf>
    <xf numFmtId="178" fontId="0" fillId="0" borderId="27" xfId="0" applyNumberFormat="1" applyBorder="1" applyProtection="1">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0" fillId="0" borderId="3" xfId="0" applyBorder="1"/>
    <xf numFmtId="0" fontId="0" fillId="0" borderId="7" xfId="0" applyBorder="1"/>
    <xf numFmtId="0" fontId="0" fillId="0" borderId="1" xfId="0" applyBorder="1"/>
    <xf numFmtId="0" fontId="0" fillId="0" borderId="5" xfId="0" applyBorder="1"/>
    <xf numFmtId="0" fontId="15" fillId="0" borderId="0" xfId="9" applyFill="1" applyAlignment="1">
      <alignment horizontal="center" vertical="center" wrapText="1"/>
    </xf>
    <xf numFmtId="164" fontId="0" fillId="10" borderId="0" xfId="8" applyNumberFormat="1" applyFont="1" applyFill="1" applyAlignment="1">
      <alignment horizontal="left" wrapText="1"/>
    </xf>
    <xf numFmtId="0" fontId="46"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cellStyle name="Comma [0]" xfId="5"/>
    <cellStyle name="Currency" xfId="2"/>
    <cellStyle name="Currency [0]" xfId="3"/>
    <cellStyle name="Hyperlink" xfId="6"/>
    <cellStyle name="Normal" xfId="0" builtinId="0"/>
    <cellStyle name="Normal 2" xfId="7"/>
    <cellStyle name="Normal 2 2" xfId="11"/>
    <cellStyle name="Normal 3" xfId="8"/>
    <cellStyle name="Normal 4" xfId="10"/>
    <cellStyle name="Normal_Worksheet C" xfId="9"/>
    <cellStyle name="Percent" xfId="1"/>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dget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3062520</v>
          </cell>
        </row>
      </sheetData>
      <sheetData sheetId="1"/>
      <sheetData sheetId="2">
        <row r="8">
          <cell r="L8">
            <v>1054837</v>
          </cell>
        </row>
        <row r="10">
          <cell r="L10">
            <v>138440</v>
          </cell>
        </row>
        <row r="11">
          <cell r="L11">
            <v>6944</v>
          </cell>
        </row>
        <row r="12">
          <cell r="L12">
            <v>115</v>
          </cell>
        </row>
        <row r="13">
          <cell r="L13">
            <v>489562</v>
          </cell>
        </row>
        <row r="14">
          <cell r="L14">
            <v>31</v>
          </cell>
        </row>
        <row r="15">
          <cell r="L15">
            <v>276210</v>
          </cell>
        </row>
        <row r="16">
          <cell r="L16">
            <v>40185</v>
          </cell>
        </row>
        <row r="17">
          <cell r="L17">
            <v>63405</v>
          </cell>
        </row>
        <row r="18">
          <cell r="L18">
            <v>0</v>
          </cell>
        </row>
        <row r="19">
          <cell r="L19">
            <v>293244</v>
          </cell>
        </row>
        <row r="20">
          <cell r="L20">
            <v>29571</v>
          </cell>
        </row>
        <row r="21">
          <cell r="L21">
            <v>33</v>
          </cell>
        </row>
        <row r="22">
          <cell r="L22">
            <v>7893</v>
          </cell>
        </row>
        <row r="25">
          <cell r="L25">
            <v>87001</v>
          </cell>
        </row>
        <row r="27">
          <cell r="L27">
            <v>89161</v>
          </cell>
        </row>
        <row r="28">
          <cell r="L28">
            <v>0</v>
          </cell>
        </row>
        <row r="29">
          <cell r="L29">
            <v>0</v>
          </cell>
        </row>
        <row r="30">
          <cell r="L30">
            <v>0</v>
          </cell>
        </row>
        <row r="31">
          <cell r="L31">
            <v>0</v>
          </cell>
        </row>
        <row r="32">
          <cell r="L32">
            <v>0</v>
          </cell>
        </row>
        <row r="33">
          <cell r="L33">
            <v>0</v>
          </cell>
        </row>
        <row r="34">
          <cell r="L34">
            <v>0</v>
          </cell>
        </row>
        <row r="35">
          <cell r="L35">
            <v>0</v>
          </cell>
        </row>
        <row r="36">
          <cell r="L36">
            <v>0</v>
          </cell>
        </row>
        <row r="39">
          <cell r="L39">
            <v>6139</v>
          </cell>
        </row>
        <row r="40">
          <cell r="L40">
            <v>0</v>
          </cell>
        </row>
        <row r="41">
          <cell r="L41">
            <v>0</v>
          </cell>
        </row>
        <row r="42">
          <cell r="L42">
            <v>19250</v>
          </cell>
        </row>
        <row r="44">
          <cell r="L44">
            <v>262330</v>
          </cell>
        </row>
        <row r="45">
          <cell r="L45">
            <v>11869</v>
          </cell>
        </row>
        <row r="46">
          <cell r="L46">
            <v>0</v>
          </cell>
        </row>
        <row r="47">
          <cell r="L47">
            <v>0</v>
          </cell>
        </row>
        <row r="48">
          <cell r="L48">
            <v>141451</v>
          </cell>
        </row>
      </sheetData>
      <sheetData sheetId="3">
        <row r="5">
          <cell r="E5">
            <v>68026</v>
          </cell>
          <cell r="N5">
            <v>176162</v>
          </cell>
        </row>
        <row r="6">
          <cell r="E6">
            <v>18500</v>
          </cell>
          <cell r="N6"/>
        </row>
        <row r="7">
          <cell r="E7">
            <v>10000</v>
          </cell>
          <cell r="N7"/>
        </row>
        <row r="8">
          <cell r="E8"/>
          <cell r="N8"/>
        </row>
        <row r="9">
          <cell r="E9"/>
          <cell r="N9"/>
        </row>
        <row r="10">
          <cell r="E10"/>
          <cell r="N10"/>
        </row>
        <row r="11">
          <cell r="E11"/>
          <cell r="N11"/>
        </row>
        <row r="12">
          <cell r="E12">
            <v>43811</v>
          </cell>
        </row>
        <row r="13">
          <cell r="E13"/>
        </row>
        <row r="14">
          <cell r="E14"/>
          <cell r="N14"/>
        </row>
        <row r="15">
          <cell r="E15"/>
        </row>
        <row r="16">
          <cell r="E16"/>
        </row>
        <row r="17">
          <cell r="E17"/>
        </row>
        <row r="18">
          <cell r="E18"/>
        </row>
        <row r="19">
          <cell r="E19"/>
        </row>
        <row r="20">
          <cell r="E20"/>
        </row>
        <row r="21">
          <cell r="E21">
            <v>1114</v>
          </cell>
          <cell r="N21"/>
        </row>
        <row r="22">
          <cell r="N22"/>
        </row>
        <row r="23">
          <cell r="N23"/>
        </row>
        <row r="24">
          <cell r="E24"/>
          <cell r="N24">
            <v>11869</v>
          </cell>
        </row>
        <row r="25">
          <cell r="E25"/>
        </row>
        <row r="26">
          <cell r="E26"/>
        </row>
        <row r="27">
          <cell r="E27"/>
        </row>
        <row r="28">
          <cell r="E28"/>
        </row>
        <row r="29">
          <cell r="E29"/>
        </row>
        <row r="30">
          <cell r="E30"/>
        </row>
        <row r="31">
          <cell r="E31"/>
        </row>
        <row r="32">
          <cell r="E32"/>
        </row>
        <row r="33">
          <cell r="E33"/>
        </row>
        <row r="34">
          <cell r="E34"/>
        </row>
        <row r="35">
          <cell r="E35"/>
        </row>
        <row r="40">
          <cell r="E40"/>
        </row>
        <row r="41">
          <cell r="E41"/>
        </row>
        <row r="42">
          <cell r="E42"/>
        </row>
        <row r="43">
          <cell r="E43">
            <v>113000</v>
          </cell>
        </row>
        <row r="44">
          <cell r="E44"/>
        </row>
        <row r="45">
          <cell r="E45">
            <v>100000</v>
          </cell>
        </row>
        <row r="48">
          <cell r="E48">
            <v>213000</v>
          </cell>
        </row>
      </sheetData>
      <sheetData sheetId="4">
        <row r="8">
          <cell r="K8">
            <v>262330</v>
          </cell>
        </row>
        <row r="9">
          <cell r="K9">
            <v>0</v>
          </cell>
        </row>
        <row r="10">
          <cell r="K10">
            <v>0</v>
          </cell>
        </row>
        <row r="11">
          <cell r="K11">
            <v>0</v>
          </cell>
        </row>
        <row r="12">
          <cell r="K12">
            <v>0</v>
          </cell>
        </row>
        <row r="13">
          <cell r="K13">
            <v>262330</v>
          </cell>
        </row>
      </sheetData>
      <sheetData sheetId="5">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6"/>
      <sheetData sheetId="7"/>
      <sheetData sheetId="8"/>
      <sheetData sheetId="9"/>
      <sheetData sheetId="10"/>
      <sheetData sheetId="1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StructuredEnglishImmersionPr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3"/>
  <sheetViews>
    <sheetView showGridLines="0" topLeftCell="D49" zoomScaleNormal="100" workbookViewId="0">
      <selection activeCell="R12" sqref="R12"/>
    </sheetView>
  </sheetViews>
  <sheetFormatPr defaultColWidth="9.42578125" defaultRowHeight="12.75" customHeight="1"/>
  <cols>
    <col min="1" max="1" width="8.42578125" customWidth="1"/>
    <col min="2" max="2" width="5.42578125" customWidth="1"/>
    <col min="3" max="3" width="4.5703125" customWidth="1"/>
    <col min="4" max="4" width="8.42578125" customWidth="1"/>
    <col min="5" max="5" width="5.42578125" customWidth="1"/>
    <col min="6" max="6" width="11.42578125" customWidth="1"/>
    <col min="7" max="7" width="6.5703125" customWidth="1"/>
    <col min="8" max="8" width="3" customWidth="1"/>
    <col min="9" max="9" width="11.42578125" customWidth="1"/>
    <col min="10" max="10" width="15" customWidth="1"/>
    <col min="12" max="12" width="9.5703125" customWidth="1"/>
    <col min="13" max="13" width="9.42578125" customWidth="1"/>
    <col min="14" max="14" width="11.42578125" customWidth="1"/>
    <col min="15" max="15" width="16" customWidth="1"/>
    <col min="16" max="16" width="10" bestFit="1" customWidth="1"/>
    <col min="17" max="17" width="3.5703125" customWidth="1"/>
    <col min="18" max="18" width="13.5703125" customWidth="1"/>
    <col min="19" max="19" width="3.5703125" customWidth="1"/>
    <col min="21" max="21" width="9.5703125" bestFit="1" customWidth="1"/>
  </cols>
  <sheetData>
    <row r="1" spans="1:18" ht="12.75" customHeight="1">
      <c r="A1" s="474" t="s">
        <v>0</v>
      </c>
      <c r="B1" s="475"/>
      <c r="C1" s="475"/>
      <c r="D1" s="468" t="s">
        <v>551</v>
      </c>
      <c r="E1" s="468"/>
      <c r="F1" s="468"/>
      <c r="G1" s="468"/>
      <c r="H1" s="468"/>
      <c r="I1" s="468"/>
      <c r="L1" s="3" t="s">
        <v>1</v>
      </c>
      <c r="M1" s="471" t="s">
        <v>552</v>
      </c>
      <c r="N1" s="471"/>
      <c r="O1" s="127" t="s">
        <v>2</v>
      </c>
      <c r="P1" s="1" t="s">
        <v>553</v>
      </c>
      <c r="Q1" s="128"/>
    </row>
    <row r="2" spans="1:18" ht="12.75" customHeight="1">
      <c r="D2" s="464" t="s">
        <v>3</v>
      </c>
      <c r="E2" s="464"/>
      <c r="F2" s="464"/>
      <c r="G2" s="464"/>
      <c r="H2" s="464"/>
      <c r="I2" s="464"/>
      <c r="M2" s="129"/>
      <c r="Q2" s="129"/>
      <c r="R2" s="4"/>
    </row>
    <row r="3" spans="1:18" ht="12.75" customHeight="1">
      <c r="D3" s="465"/>
      <c r="E3" s="465"/>
      <c r="F3" s="465"/>
      <c r="G3" s="465"/>
      <c r="H3" s="465"/>
      <c r="I3" s="465"/>
      <c r="M3" s="129"/>
      <c r="Q3" s="129"/>
      <c r="R3" s="4"/>
    </row>
    <row r="4" spans="1:18" ht="12.75" customHeight="1">
      <c r="D4" s="464" t="s">
        <v>4</v>
      </c>
      <c r="E4" s="464"/>
      <c r="F4" s="464"/>
      <c r="G4" s="464"/>
      <c r="H4" s="464"/>
      <c r="I4" s="464"/>
      <c r="L4" s="484"/>
      <c r="M4" s="484"/>
      <c r="N4" s="484"/>
      <c r="O4" s="484"/>
      <c r="P4" s="484"/>
      <c r="Q4" s="484"/>
      <c r="R4" s="484"/>
    </row>
    <row r="5" spans="1:18" ht="12.75" customHeight="1">
      <c r="A5" s="470" t="s">
        <v>543</v>
      </c>
      <c r="B5" s="470"/>
      <c r="C5" s="470"/>
      <c r="L5" s="476" t="str">
        <f>IF('Data Entry'!F6="","Please enter a SIS Vendor on the Data Entry tab.","")</f>
        <v/>
      </c>
      <c r="M5" s="476"/>
      <c r="N5" s="476"/>
      <c r="O5" s="476"/>
      <c r="P5" s="476"/>
      <c r="Q5" s="476"/>
      <c r="R5" s="476"/>
    </row>
    <row r="6" spans="1:18" ht="18" customHeight="1">
      <c r="A6" s="129"/>
      <c r="B6" s="496" t="s">
        <v>485</v>
      </c>
      <c r="C6" s="496"/>
      <c r="D6" s="496"/>
      <c r="E6" s="496"/>
      <c r="F6" s="496"/>
      <c r="G6" s="496"/>
      <c r="H6" s="496"/>
      <c r="I6" s="496"/>
      <c r="J6" s="91"/>
      <c r="K6" s="130" t="s">
        <v>5</v>
      </c>
      <c r="L6" s="497" t="s">
        <v>487</v>
      </c>
      <c r="M6" s="497"/>
      <c r="N6" s="497"/>
      <c r="O6" s="497"/>
      <c r="P6" s="497"/>
      <c r="Q6" s="407" t="s">
        <v>6</v>
      </c>
      <c r="R6" s="131">
        <f>[1]Cover!$R$13</f>
        <v>3062520</v>
      </c>
    </row>
    <row r="7" spans="1:18">
      <c r="A7" s="129"/>
      <c r="B7" s="129"/>
      <c r="C7" s="129"/>
      <c r="D7" s="129"/>
      <c r="E7" s="129"/>
      <c r="F7" s="129"/>
      <c r="G7" s="129"/>
      <c r="J7" s="91"/>
      <c r="K7" s="130"/>
      <c r="L7" s="497"/>
      <c r="M7" s="497"/>
      <c r="N7" s="497"/>
      <c r="O7" s="497"/>
      <c r="P7" s="497"/>
      <c r="Q7" s="407"/>
      <c r="R7" s="132"/>
    </row>
    <row r="8" spans="1:18" ht="18" customHeight="1">
      <c r="A8" s="129"/>
      <c r="B8" s="496" t="s">
        <v>7</v>
      </c>
      <c r="C8" s="496"/>
      <c r="D8" s="496"/>
      <c r="E8" s="496"/>
      <c r="F8" s="496"/>
      <c r="G8" s="496"/>
      <c r="H8" s="496"/>
      <c r="I8" s="496"/>
      <c r="J8" s="133"/>
      <c r="K8" s="130" t="s">
        <v>8</v>
      </c>
      <c r="L8" s="460" t="s">
        <v>488</v>
      </c>
      <c r="M8" s="460"/>
      <c r="N8" s="479"/>
      <c r="O8" s="479"/>
      <c r="P8" s="479"/>
      <c r="Q8" s="479"/>
      <c r="R8" s="132"/>
    </row>
    <row r="9" spans="1:18">
      <c r="A9" s="129"/>
      <c r="B9" s="129"/>
      <c r="C9" s="129"/>
      <c r="D9" s="129"/>
      <c r="E9" s="129"/>
      <c r="F9" s="129"/>
      <c r="G9" s="129"/>
      <c r="J9" s="91"/>
      <c r="L9" s="129"/>
      <c r="M9" s="129"/>
      <c r="N9" s="129"/>
      <c r="O9" t="s">
        <v>9</v>
      </c>
      <c r="P9" s="134" t="s">
        <v>10</v>
      </c>
      <c r="Q9" s="407" t="s">
        <v>6</v>
      </c>
      <c r="R9" s="10">
        <v>133489</v>
      </c>
    </row>
    <row r="10" spans="1:18" ht="12.75" customHeight="1">
      <c r="A10" s="129"/>
      <c r="B10" s="480" t="s">
        <v>11</v>
      </c>
      <c r="C10" s="480"/>
      <c r="D10" s="480"/>
      <c r="E10" s="480"/>
      <c r="F10" s="480"/>
      <c r="G10" s="480"/>
      <c r="H10" s="480"/>
      <c r="I10" s="480"/>
      <c r="J10" s="481"/>
      <c r="K10" s="130"/>
      <c r="L10" s="135"/>
      <c r="M10" s="135"/>
      <c r="N10" s="135"/>
      <c r="O10" t="s">
        <v>12</v>
      </c>
      <c r="P10" s="134" t="s">
        <v>13</v>
      </c>
      <c r="Q10" s="407" t="s">
        <v>6</v>
      </c>
      <c r="R10" s="10"/>
    </row>
    <row r="11" spans="1:18" ht="12.75" customHeight="1">
      <c r="A11" s="129"/>
      <c r="B11" s="480"/>
      <c r="C11" s="480"/>
      <c r="D11" s="480"/>
      <c r="E11" s="480"/>
      <c r="F11" s="480"/>
      <c r="G11" s="480"/>
      <c r="H11" s="480"/>
      <c r="I11" s="480"/>
      <c r="J11" s="481"/>
      <c r="O11" t="s">
        <v>14</v>
      </c>
      <c r="P11" s="134" t="s">
        <v>15</v>
      </c>
      <c r="Q11" s="407" t="s">
        <v>6</v>
      </c>
      <c r="R11" s="10">
        <f>IIPInstructionalImprovementPrograms+_CSP1000+StateAidsupplement+Calculations!N75+'BSA55'!H83</f>
        <v>2277439</v>
      </c>
    </row>
    <row r="12" spans="1:18" ht="12.75" customHeight="1">
      <c r="A12" s="129"/>
      <c r="B12" s="129"/>
      <c r="C12" s="129"/>
      <c r="D12" s="465" t="s">
        <v>28</v>
      </c>
      <c r="E12" s="465"/>
      <c r="F12" s="465"/>
      <c r="G12" s="465"/>
      <c r="H12" s="465"/>
      <c r="J12" s="91"/>
      <c r="O12" t="s">
        <v>16</v>
      </c>
      <c r="P12" s="134" t="s">
        <v>17</v>
      </c>
      <c r="Q12" s="407" t="s">
        <v>6</v>
      </c>
      <c r="R12" s="10">
        <f>FederalandStateProjectsTotal</f>
        <v>101776</v>
      </c>
    </row>
    <row r="13" spans="1:18" ht="12.75" customHeight="1">
      <c r="B13" s="499" t="s">
        <v>18</v>
      </c>
      <c r="C13" s="499"/>
      <c r="D13" s="500"/>
      <c r="E13" s="500"/>
      <c r="F13" s="500"/>
      <c r="G13" s="500"/>
      <c r="H13" s="500"/>
      <c r="I13" s="499"/>
      <c r="J13" s="91"/>
      <c r="O13" t="s">
        <v>19</v>
      </c>
      <c r="Q13" s="407" t="s">
        <v>6</v>
      </c>
      <c r="R13" s="131">
        <f>SUM(R9:R12)</f>
        <v>2512704</v>
      </c>
    </row>
    <row r="14" spans="1:18" ht="12.75" customHeight="1">
      <c r="J14" s="91"/>
      <c r="P14" s="134"/>
      <c r="Q14" s="407"/>
      <c r="R14" s="132"/>
    </row>
    <row r="15" spans="1:18" ht="12.75" customHeight="1">
      <c r="A15" s="483" t="s">
        <v>458</v>
      </c>
      <c r="B15" s="483"/>
      <c r="C15" s="483"/>
      <c r="D15" s="483"/>
      <c r="E15" s="483"/>
      <c r="F15" s="472" t="s">
        <v>555</v>
      </c>
      <c r="G15" s="472"/>
      <c r="H15" s="472"/>
      <c r="I15" s="472"/>
      <c r="J15" s="482"/>
      <c r="L15" s="477" t="s">
        <v>20</v>
      </c>
      <c r="M15" s="477"/>
      <c r="N15" s="477"/>
      <c r="O15" s="472" t="s">
        <v>557</v>
      </c>
      <c r="P15" s="472"/>
      <c r="Q15" s="472"/>
      <c r="R15" s="472"/>
    </row>
    <row r="16" spans="1:18" ht="12.75" customHeight="1">
      <c r="J16" s="91"/>
      <c r="L16" t="s">
        <v>22</v>
      </c>
      <c r="M16" s="495">
        <v>6024240771</v>
      </c>
      <c r="N16" s="495"/>
      <c r="O16" s="407" t="s">
        <v>23</v>
      </c>
      <c r="P16" s="473" t="s">
        <v>554</v>
      </c>
      <c r="Q16" s="473"/>
      <c r="R16" s="473"/>
    </row>
    <row r="17" spans="1:21" ht="12.75" customHeight="1">
      <c r="A17" s="4"/>
      <c r="B17" s="478" t="s">
        <v>21</v>
      </c>
      <c r="C17" s="478"/>
      <c r="D17" s="478"/>
      <c r="E17" s="478"/>
      <c r="F17" s="478"/>
      <c r="G17" s="478"/>
      <c r="H17" s="478"/>
      <c r="I17" s="478"/>
      <c r="J17" s="91"/>
      <c r="P17" s="134"/>
      <c r="Q17" s="407"/>
      <c r="R17" s="132"/>
    </row>
    <row r="18" spans="1:21" ht="12.75" customHeight="1">
      <c r="J18" s="91"/>
      <c r="L18" s="477" t="s">
        <v>489</v>
      </c>
      <c r="M18" s="477"/>
      <c r="N18" s="477"/>
      <c r="O18" s="477"/>
      <c r="P18" s="477"/>
      <c r="Q18" s="477"/>
      <c r="R18" s="477"/>
    </row>
    <row r="19" spans="1:21" ht="12.75" customHeight="1">
      <c r="J19" s="91"/>
      <c r="L19" s="477" t="s">
        <v>24</v>
      </c>
      <c r="M19" s="477"/>
      <c r="N19" s="477"/>
      <c r="O19" s="477"/>
      <c r="P19" s="498">
        <v>45856</v>
      </c>
      <c r="Q19" s="498"/>
      <c r="R19" s="498"/>
    </row>
    <row r="20" spans="1:21" ht="12.75" customHeight="1">
      <c r="B20" s="478" t="s">
        <v>486</v>
      </c>
      <c r="C20" s="478"/>
      <c r="D20" s="478"/>
      <c r="E20" s="478"/>
      <c r="F20" s="478"/>
      <c r="G20" s="478"/>
      <c r="H20" s="478"/>
      <c r="I20" s="478"/>
      <c r="J20" s="91"/>
      <c r="L20" s="462" t="s">
        <v>26</v>
      </c>
      <c r="M20" s="462"/>
      <c r="N20" s="462"/>
      <c r="O20" s="462"/>
      <c r="P20" s="464" t="s">
        <v>27</v>
      </c>
      <c r="Q20" s="464"/>
      <c r="R20" s="464"/>
    </row>
    <row r="21" spans="1:21" ht="12.75" customHeight="1">
      <c r="C21" s="477" t="s">
        <v>25</v>
      </c>
      <c r="D21" s="477"/>
      <c r="F21" s="498">
        <v>45832</v>
      </c>
      <c r="G21" s="498"/>
      <c r="H21" s="498"/>
      <c r="I21" s="136" t="str">
        <f>IF(AND(ISNUMBER(SEARCH("Proposed*",D12)),F21=""),"Please enter a Proposed Date","")</f>
        <v/>
      </c>
      <c r="J21" s="91"/>
      <c r="L21" s="494"/>
      <c r="M21" s="494"/>
      <c r="N21" s="494"/>
      <c r="O21" s="494"/>
      <c r="P21" s="494"/>
      <c r="Q21" s="494"/>
      <c r="R21" s="494"/>
    </row>
    <row r="22" spans="1:21" ht="12.75" customHeight="1">
      <c r="C22" s="477" t="s">
        <v>28</v>
      </c>
      <c r="D22" s="477"/>
      <c r="F22" s="469">
        <v>45845</v>
      </c>
      <c r="G22" s="469"/>
      <c r="H22" s="469"/>
      <c r="I22" s="136" t="str">
        <f>IF(AND(ISNUMBER(SEARCH("Adopted*",D12)),F22=""),"Please enter an Adopted Date","")</f>
        <v/>
      </c>
      <c r="J22" s="91"/>
      <c r="L22" s="465"/>
      <c r="M22" s="465"/>
      <c r="N22" s="465"/>
      <c r="O22" s="139"/>
      <c r="P22" s="465"/>
      <c r="Q22" s="465"/>
      <c r="R22" s="465"/>
    </row>
    <row r="23" spans="1:21" ht="12.75" customHeight="1">
      <c r="A23" s="4"/>
      <c r="C23" s="477" t="s">
        <v>29</v>
      </c>
      <c r="D23" s="477"/>
      <c r="F23" s="469"/>
      <c r="G23" s="469"/>
      <c r="H23" s="469"/>
      <c r="I23" s="137" t="str">
        <f>IF(AND(ISNUMBER(SEARCH("Revised*",D12)),F23=""),"Please enter a Revised Date","")</f>
        <v/>
      </c>
      <c r="J23" s="138"/>
      <c r="L23" s="464" t="s">
        <v>31</v>
      </c>
      <c r="M23" s="464"/>
      <c r="N23" s="464"/>
      <c r="O23" s="140"/>
      <c r="P23" s="464" t="s">
        <v>31</v>
      </c>
      <c r="Q23" s="464"/>
      <c r="R23" s="464"/>
      <c r="S23" s="141"/>
      <c r="T23" s="141"/>
      <c r="U23" s="141"/>
    </row>
    <row r="24" spans="1:21" ht="12.75" customHeight="1">
      <c r="F24" s="464" t="s">
        <v>30</v>
      </c>
      <c r="G24" s="464"/>
      <c r="H24" s="464"/>
      <c r="J24" s="91"/>
    </row>
    <row r="25" spans="1:21" ht="12.75" customHeight="1">
      <c r="B25" s="5"/>
      <c r="E25" s="142"/>
      <c r="J25" s="91"/>
      <c r="L25" s="462" t="str">
        <f>IF(OR(L26="",P26=""),"Please enter typed school official names","")</f>
        <v/>
      </c>
      <c r="M25" s="462"/>
      <c r="N25" s="462"/>
      <c r="O25" s="462"/>
      <c r="P25" s="462"/>
      <c r="Q25" s="462"/>
      <c r="R25" s="462"/>
      <c r="U25" s="143"/>
    </row>
    <row r="26" spans="1:21" ht="12.75" customHeight="1">
      <c r="A26" s="466"/>
      <c r="B26" s="466"/>
      <c r="C26" s="466"/>
      <c r="D26" s="466"/>
      <c r="E26" s="466"/>
      <c r="F26" s="466"/>
      <c r="G26" s="466"/>
      <c r="H26" s="466"/>
      <c r="I26" s="466"/>
      <c r="J26" s="467"/>
      <c r="L26" s="465" t="s">
        <v>557</v>
      </c>
      <c r="M26" s="465"/>
      <c r="N26" s="465"/>
      <c r="O26" s="140"/>
      <c r="P26" s="465" t="s">
        <v>556</v>
      </c>
      <c r="Q26" s="465"/>
      <c r="R26" s="465"/>
    </row>
    <row r="27" spans="1:21" ht="12.75" customHeight="1">
      <c r="A27" s="466"/>
      <c r="B27" s="466"/>
      <c r="C27" s="466"/>
      <c r="D27" s="466"/>
      <c r="E27" s="466"/>
      <c r="F27" s="466"/>
      <c r="G27" s="466"/>
      <c r="H27" s="466"/>
      <c r="I27" s="466"/>
      <c r="J27" s="467"/>
      <c r="L27" s="464" t="s">
        <v>32</v>
      </c>
      <c r="M27" s="464"/>
      <c r="N27" s="464"/>
      <c r="O27" s="140"/>
      <c r="P27" s="464" t="s">
        <v>32</v>
      </c>
      <c r="Q27" s="464"/>
      <c r="R27" s="464"/>
    </row>
    <row r="28" spans="1:21" ht="12.75" customHeight="1">
      <c r="A28" s="466"/>
      <c r="B28" s="466"/>
      <c r="C28" s="466"/>
      <c r="D28" s="466"/>
      <c r="E28" s="466"/>
      <c r="F28" s="466"/>
      <c r="G28" s="466"/>
      <c r="H28" s="466"/>
      <c r="I28" s="466"/>
      <c r="J28" s="467"/>
    </row>
    <row r="29" spans="1:21" ht="12.75" customHeight="1">
      <c r="B29" s="4"/>
      <c r="C29" s="5"/>
      <c r="D29" s="5"/>
      <c r="F29" s="4"/>
      <c r="G29" s="144"/>
      <c r="H29" s="129"/>
      <c r="I29" s="129"/>
      <c r="J29" s="133"/>
      <c r="L29" s="460" t="s">
        <v>33</v>
      </c>
      <c r="M29" s="460"/>
      <c r="N29" s="461"/>
      <c r="O29" s="461"/>
      <c r="P29" s="461"/>
      <c r="Q29" s="461"/>
      <c r="R29" s="461"/>
      <c r="S29" s="460"/>
    </row>
    <row r="30" spans="1:21" ht="12" customHeight="1" thickBot="1">
      <c r="A30" s="465"/>
      <c r="B30" s="465"/>
      <c r="C30" s="465"/>
      <c r="D30" s="465"/>
      <c r="E30" s="465"/>
      <c r="F30" s="4"/>
      <c r="G30" s="463"/>
      <c r="H30" s="463"/>
      <c r="I30" s="463"/>
      <c r="J30" s="133"/>
      <c r="L30" s="462" t="str">
        <f>IF((BudgetYearSalary)=0,"Average teacher salary information is not complete.",IF(AND((PriorYearSalary)=0,(L31)=""),"Average teacher salary information is not complete.",""))</f>
        <v/>
      </c>
      <c r="M30" s="462"/>
      <c r="N30" s="462"/>
      <c r="O30" s="462"/>
      <c r="P30" s="462"/>
      <c r="Q30" s="462"/>
      <c r="R30" s="462"/>
      <c r="S30" s="2"/>
    </row>
    <row r="31" spans="1:21" ht="13.5" customHeight="1" thickBot="1">
      <c r="H31" s="129"/>
      <c r="I31" s="129"/>
      <c r="J31" s="133"/>
      <c r="L31" s="32"/>
      <c r="M31" s="145" t="s">
        <v>490</v>
      </c>
      <c r="N31" s="94"/>
      <c r="O31" s="94"/>
      <c r="P31" s="94"/>
      <c r="Q31" s="94"/>
      <c r="R31" s="94"/>
    </row>
    <row r="32" spans="1:21" ht="12.75" customHeight="1">
      <c r="A32" s="465"/>
      <c r="B32" s="465"/>
      <c r="C32" s="465"/>
      <c r="D32" s="465"/>
      <c r="E32" s="465"/>
      <c r="F32" s="4"/>
      <c r="G32" s="463"/>
      <c r="H32" s="463"/>
      <c r="I32" s="463"/>
      <c r="J32" s="91"/>
      <c r="L32" s="145" t="s">
        <v>491</v>
      </c>
      <c r="M32" s="146"/>
      <c r="N32" s="146"/>
      <c r="O32" s="147"/>
      <c r="P32" s="147"/>
      <c r="Q32" s="407" t="s">
        <v>6</v>
      </c>
      <c r="R32" s="26">
        <v>50789</v>
      </c>
      <c r="S32" s="148" t="str">
        <f>IF(OR(BudgetYearSalary=0,PriorYearSalary=0),1/ERROR,"")</f>
        <v/>
      </c>
    </row>
    <row r="33" spans="1:18" ht="12.75" customHeight="1">
      <c r="J33" s="91"/>
      <c r="L33" s="145" t="s">
        <v>492</v>
      </c>
      <c r="O33" s="147"/>
      <c r="P33" s="147"/>
      <c r="Q33" s="407" t="s">
        <v>6</v>
      </c>
      <c r="R33" s="10">
        <v>49214</v>
      </c>
    </row>
    <row r="34" spans="1:18" ht="12.75" customHeight="1">
      <c r="A34" s="465"/>
      <c r="B34" s="465"/>
      <c r="C34" s="465"/>
      <c r="D34" s="465"/>
      <c r="E34" s="465"/>
      <c r="F34" s="4"/>
      <c r="G34" s="463"/>
      <c r="H34" s="463"/>
      <c r="I34" s="463"/>
      <c r="J34" s="91"/>
      <c r="L34" s="145" t="s">
        <v>493</v>
      </c>
      <c r="O34" s="147"/>
      <c r="P34" s="147"/>
      <c r="Q34" s="407" t="s">
        <v>6</v>
      </c>
      <c r="R34" s="131">
        <f>R32-R33</f>
        <v>1575</v>
      </c>
    </row>
    <row r="35" spans="1:18" ht="12.75" customHeight="1">
      <c r="J35" s="91"/>
      <c r="L35" s="145" t="s">
        <v>34</v>
      </c>
      <c r="Q35" s="407"/>
      <c r="R35" s="149">
        <f>IF(PriorYearSalary&gt;0,R34/R33,0)</f>
        <v>3.2000000000000001E-2</v>
      </c>
    </row>
    <row r="36" spans="1:18" ht="12.75" customHeight="1">
      <c r="A36" s="465"/>
      <c r="B36" s="465"/>
      <c r="C36" s="465"/>
      <c r="D36" s="465"/>
      <c r="E36" s="465"/>
      <c r="F36" s="4"/>
      <c r="G36" s="463"/>
      <c r="H36" s="463"/>
      <c r="I36" s="463"/>
      <c r="J36" s="91"/>
      <c r="L36" s="485" t="s">
        <v>35</v>
      </c>
      <c r="M36" s="486"/>
      <c r="N36" s="486"/>
      <c r="O36" s="486"/>
      <c r="P36" s="486"/>
      <c r="Q36" s="486"/>
      <c r="R36" s="487"/>
    </row>
    <row r="37" spans="1:18" ht="12.75" customHeight="1">
      <c r="D37" s="129"/>
      <c r="E37" s="129"/>
      <c r="F37" s="129"/>
      <c r="G37" s="129"/>
      <c r="J37" s="91"/>
      <c r="K37" s="53"/>
      <c r="L37" s="488"/>
      <c r="M37" s="489"/>
      <c r="N37" s="489"/>
      <c r="O37" s="489"/>
      <c r="P37" s="489"/>
      <c r="Q37" s="489"/>
      <c r="R37" s="490"/>
    </row>
    <row r="38" spans="1:18" ht="12.75" customHeight="1">
      <c r="A38" s="465"/>
      <c r="B38" s="465"/>
      <c r="C38" s="465"/>
      <c r="D38" s="465"/>
      <c r="E38" s="465"/>
      <c r="F38" s="4"/>
      <c r="G38" s="463"/>
      <c r="H38" s="463"/>
      <c r="I38" s="463"/>
      <c r="K38" s="53"/>
      <c r="L38" s="488"/>
      <c r="M38" s="489"/>
      <c r="N38" s="489"/>
      <c r="O38" s="489"/>
      <c r="P38" s="489"/>
      <c r="Q38" s="489"/>
      <c r="R38" s="490"/>
    </row>
    <row r="39" spans="1:18" ht="12.75" customHeight="1">
      <c r="D39" s="129"/>
      <c r="E39" s="129"/>
      <c r="F39" s="129"/>
      <c r="G39" s="129"/>
      <c r="K39" s="53"/>
      <c r="L39" s="488"/>
      <c r="M39" s="489"/>
      <c r="N39" s="489"/>
      <c r="O39" s="489"/>
      <c r="P39" s="489"/>
      <c r="Q39" s="489"/>
      <c r="R39" s="490"/>
    </row>
    <row r="40" spans="1:18" ht="12.75" customHeight="1">
      <c r="A40" s="465"/>
      <c r="B40" s="465"/>
      <c r="C40" s="465"/>
      <c r="D40" s="465"/>
      <c r="E40" s="465"/>
      <c r="F40" s="4"/>
      <c r="G40" s="463"/>
      <c r="H40" s="463"/>
      <c r="I40" s="463"/>
      <c r="K40" s="53"/>
      <c r="L40" s="488"/>
      <c r="M40" s="489"/>
      <c r="N40" s="489"/>
      <c r="O40" s="489"/>
      <c r="P40" s="489"/>
      <c r="Q40" s="489"/>
      <c r="R40" s="490"/>
    </row>
    <row r="41" spans="1:18" ht="12.75" customHeight="1">
      <c r="D41" s="129"/>
      <c r="E41" s="129"/>
      <c r="F41" s="129"/>
      <c r="G41" s="129"/>
      <c r="K41" s="53"/>
      <c r="L41" s="488"/>
      <c r="M41" s="489"/>
      <c r="N41" s="489"/>
      <c r="O41" s="489"/>
      <c r="P41" s="489"/>
      <c r="Q41" s="489"/>
      <c r="R41" s="490"/>
    </row>
    <row r="42" spans="1:18" ht="12.75" customHeight="1">
      <c r="A42" s="465"/>
      <c r="B42" s="465"/>
      <c r="C42" s="465"/>
      <c r="D42" s="465"/>
      <c r="E42" s="465"/>
      <c r="F42" s="4"/>
      <c r="G42" s="463"/>
      <c r="H42" s="463"/>
      <c r="I42" s="463"/>
      <c r="K42" s="53"/>
      <c r="L42" s="491"/>
      <c r="M42" s="492"/>
      <c r="N42" s="492"/>
      <c r="O42" s="492"/>
      <c r="P42" s="492"/>
      <c r="Q42" s="492"/>
      <c r="R42" s="493"/>
    </row>
    <row r="43" spans="1:18" ht="12.75" customHeight="1">
      <c r="A43" s="464" t="s">
        <v>36</v>
      </c>
      <c r="B43" s="464"/>
      <c r="C43" s="464"/>
      <c r="D43" s="464"/>
      <c r="E43" s="464"/>
      <c r="F43" s="150"/>
      <c r="G43" s="464" t="s">
        <v>37</v>
      </c>
      <c r="H43" s="464"/>
      <c r="I43" s="464"/>
    </row>
  </sheetData>
  <sheetProtection sheet="1" formatColumns="0" formatRows="0"/>
  <mergeCells count="71">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 ref="L15:N15"/>
    <mergeCell ref="L22:N22"/>
    <mergeCell ref="L18:R18"/>
    <mergeCell ref="L8:Q8"/>
    <mergeCell ref="B11:I11"/>
    <mergeCell ref="L19:O19"/>
    <mergeCell ref="J10:J11"/>
    <mergeCell ref="F15:J15"/>
    <mergeCell ref="A15:E15"/>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A5:C5"/>
    <mergeCell ref="A43:E43"/>
    <mergeCell ref="A38:E38"/>
    <mergeCell ref="A40:E40"/>
    <mergeCell ref="G42:I42"/>
    <mergeCell ref="G43:I43"/>
    <mergeCell ref="A42:E42"/>
    <mergeCell ref="L29:S29"/>
    <mergeCell ref="L30:R30"/>
    <mergeCell ref="G40:I40"/>
    <mergeCell ref="P23:R23"/>
    <mergeCell ref="P27:R27"/>
    <mergeCell ref="P26:R26"/>
    <mergeCell ref="A28:J28"/>
    <mergeCell ref="F24:H24"/>
  </mergeCells>
  <dataValidations count="9">
    <dataValidation type="list" allowBlank="1" showErrorMessage="1" errorTitle="Invalid Entry" error="Please select the budget version from the drop down list." sqref="D12:H12">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1:H21">
      <formula1>43241</formula1>
    </dataValidation>
    <dataValidation type="date" operator="greaterThan" allowBlank="1" showInputMessage="1" showErrorMessage="1" errorTitle="Date" error="Revision date must be greater than adopted date" promptTitle="Enter Date as" prompt="MM/DD/YYYY" sqref="F23:H23">
      <formula1>F22</formula1>
    </dataValidation>
    <dataValidation type="date" operator="greaterThan" allowBlank="1" showInputMessage="1" showErrorMessage="1" errorTitle="Date" error="Adopted date must be greater than proposed date" promptTitle="Enter Date as" prompt="MM/DD/YYYY" sqref="F22:H22">
      <formula1>F21</formula1>
    </dataValidation>
    <dataValidation type="date" operator="greaterThan" allowBlank="1" showInputMessage="1" showErrorMessage="1" errorTitle="Date" error="Enter a Valid Date MM/DD/YYYY" promptTitle="Enter Date as" prompt="MM/DD/YYYY" sqref="P19:R19">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formula1>AND(ISNUMBER(M16),LEN(M16)=10)</formula1>
    </dataValidation>
    <dataValidation allowBlank="1" showInputMessage="1" showErrorMessage="1" errorTitle="Email Address" error="Please enter a valid email address" promptTitle="Email Address" prompt="Please enter a valid email address." sqref="P16:R16"/>
    <dataValidation type="list" allowBlank="1" showInputMessage="1" showErrorMessage="1" sqref="L31">
      <formula1>"X"</formula1>
    </dataValidation>
    <dataValidation type="textLength" operator="equal" allowBlank="1" showInputMessage="1" showErrorMessage="1" error="This cell will only accept entries of 9 digits.  Enter your CTD number plus 3 zeros." sqref="P1">
      <formula1>9</formula1>
    </dataValidation>
  </dataValidations>
  <hyperlinks>
    <hyperlink ref="B13:I13" location="Version" display="Version"/>
    <hyperlink ref="L8:Q8" location="EstimatedRevenues" display="ESTIMATED REVENUES BY SOURCE FOR FISCAL YEAR 2019"/>
    <hyperlink ref="L29:S29" location="AverageTeacherSalaries" display="AVERAGE TEACHER SALARY (A.R.S. §15-189.05)"/>
    <hyperlink ref="O1" location="CTDSNumber" display="CTDS number"/>
    <hyperlink ref="A15:E15" location="websitelink" display="Charter website link of posted budget"/>
    <hyperlink ref="A5" location="CoverGen" display="Instructions"/>
  </hyperlinks>
  <printOptions horizontalCentered="1" verticalCentered="1"/>
  <pageMargins left="0.75" right="0.5" top="0.25" bottom="0.25" header="0" footer="0"/>
  <pageSetup paperSize="5" scale="77" orientation="landscape" r:id="rId1"/>
  <headerFooter>
    <oddFooter>&amp;L&amp;"Arial,Bold"Rev. 5/25 Arizona Department of Education and Auditor General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9"/>
  <sheetViews>
    <sheetView showGridLines="0" topLeftCell="A7" workbookViewId="0">
      <selection activeCell="A13" sqref="A13:XFD13"/>
    </sheetView>
  </sheetViews>
  <sheetFormatPr defaultColWidth="9" defaultRowHeight="12.75"/>
  <cols>
    <col min="1" max="1" width="43.5703125" style="122" bestFit="1" customWidth="1"/>
    <col min="2" max="2" width="22.42578125" style="122" bestFit="1" customWidth="1"/>
    <col min="3" max="3" width="22.42578125" style="122" customWidth="1"/>
    <col min="4" max="4" width="22.42578125" style="122" bestFit="1" customWidth="1"/>
    <col min="5" max="5" width="22.42578125" style="122" customWidth="1"/>
    <col min="6" max="6" width="17.42578125" style="122" customWidth="1"/>
    <col min="7" max="7" width="22.42578125" style="122" customWidth="1"/>
    <col min="8" max="8" width="17.5703125" style="122" bestFit="1" customWidth="1"/>
    <col min="9" max="9" width="14.42578125" style="122" customWidth="1"/>
    <col min="10" max="10" width="14.5703125" style="122" customWidth="1"/>
    <col min="11" max="16" width="9" style="122" customWidth="1"/>
    <col min="17" max="16384" width="9" style="122"/>
  </cols>
  <sheetData>
    <row r="1" spans="1:10">
      <c r="A1" s="36" t="s">
        <v>0</v>
      </c>
      <c r="B1" s="501" t="str">
        <f>CharterName</f>
        <v>Freedom Academy Inc</v>
      </c>
      <c r="C1" s="501"/>
      <c r="D1" s="36" t="s">
        <v>1</v>
      </c>
      <c r="E1" s="620" t="str">
        <f>Cover!M1</f>
        <v>Maricopa</v>
      </c>
      <c r="F1" s="501"/>
      <c r="G1" s="501"/>
      <c r="H1" s="36" t="s">
        <v>2</v>
      </c>
      <c r="I1" s="502" t="str">
        <f>CTD</f>
        <v>078528000</v>
      </c>
      <c r="J1" s="502"/>
    </row>
    <row r="2" spans="1:10">
      <c r="A2" s="36"/>
      <c r="B2" s="156"/>
      <c r="C2" s="4"/>
      <c r="D2" s="36"/>
      <c r="E2" s="156"/>
      <c r="F2" s="4"/>
      <c r="G2" s="4"/>
      <c r="H2"/>
      <c r="I2" s="36"/>
      <c r="J2" s="4"/>
    </row>
    <row r="3" spans="1:10">
      <c r="A3" s="621" t="str">
        <f>IF(CharterName&lt;&gt;0,CharterName,"")</f>
        <v>Freedom Academy Inc</v>
      </c>
      <c r="B3" s="621"/>
      <c r="C3" s="621"/>
      <c r="D3" s="621"/>
      <c r="E3" s="621"/>
      <c r="F3" s="621"/>
      <c r="G3" s="621"/>
      <c r="H3" s="621"/>
      <c r="I3" s="621"/>
      <c r="J3" s="621"/>
    </row>
    <row r="4" spans="1:10">
      <c r="A4" s="480" t="s">
        <v>344</v>
      </c>
      <c r="B4" s="480"/>
      <c r="C4" s="480"/>
      <c r="D4" s="480"/>
      <c r="E4" s="480"/>
      <c r="F4" s="480"/>
      <c r="G4" s="480"/>
      <c r="H4" s="480"/>
      <c r="I4" s="480"/>
      <c r="J4" s="480"/>
    </row>
    <row r="5" spans="1:10">
      <c r="A5" s="480" t="s">
        <v>485</v>
      </c>
      <c r="B5" s="480"/>
      <c r="C5" s="480"/>
      <c r="D5" s="480"/>
      <c r="E5" s="480"/>
      <c r="F5" s="480"/>
      <c r="G5" s="480"/>
      <c r="H5" s="480"/>
      <c r="I5" s="480"/>
      <c r="J5" s="480"/>
    </row>
    <row r="6" spans="1:10" s="123" customFormat="1" ht="13.5" thickBot="1">
      <c r="A6" s="157"/>
      <c r="B6" s="157"/>
      <c r="C6" s="157"/>
      <c r="D6" s="157"/>
      <c r="E6" s="157"/>
      <c r="F6" s="157"/>
      <c r="G6" s="157"/>
      <c r="H6" s="157"/>
      <c r="I6" s="157"/>
      <c r="J6" s="158" t="s">
        <v>345</v>
      </c>
    </row>
    <row r="7" spans="1:10" ht="51">
      <c r="A7" s="3" t="s">
        <v>346</v>
      </c>
      <c r="B7" s="159" t="s">
        <v>347</v>
      </c>
      <c r="C7" s="159" t="s">
        <v>348</v>
      </c>
      <c r="D7" s="159" t="s">
        <v>349</v>
      </c>
      <c r="E7" s="159" t="s">
        <v>350</v>
      </c>
      <c r="F7" s="159" t="s">
        <v>351</v>
      </c>
      <c r="G7" s="159" t="s">
        <v>352</v>
      </c>
      <c r="H7" s="159" t="s">
        <v>353</v>
      </c>
      <c r="I7"/>
      <c r="J7"/>
    </row>
    <row r="8" spans="1:10">
      <c r="A8" s="125" t="s">
        <v>269</v>
      </c>
      <c r="B8" s="160">
        <f>NonAOIStudCntPSDCY</f>
        <v>0</v>
      </c>
      <c r="C8" s="160">
        <v>0</v>
      </c>
      <c r="D8" s="160">
        <v>0</v>
      </c>
      <c r="E8" s="160">
        <f>IF(AND(B8=0,C8=0,D8=0),0,1.45)</f>
        <v>0</v>
      </c>
      <c r="F8" s="160">
        <f>B8*E8</f>
        <v>0</v>
      </c>
      <c r="G8" s="160">
        <f>E8*C8</f>
        <v>0</v>
      </c>
      <c r="H8" s="160">
        <f>E8*D8</f>
        <v>0</v>
      </c>
      <c r="I8"/>
      <c r="J8"/>
    </row>
    <row r="9" spans="1:10">
      <c r="A9" s="125" t="s">
        <v>354</v>
      </c>
      <c r="B9" s="160">
        <f>NonAOIStudCntK8CY</f>
        <v>200</v>
      </c>
      <c r="C9" s="160">
        <f>AOIFTStudCntK8CY</f>
        <v>0</v>
      </c>
      <c r="D9" s="160">
        <f>AOIPTStudCntK8CY</f>
        <v>0</v>
      </c>
      <c r="E9" s="160">
        <f>IF(AND(B9=0,C9=0,D9=0),0,IF(OR('Data Entry'!B29="X",'Data Entry'!B30="X",'Data Entry'!B31="X",'Data Entry'!B32="X"),Calculations!L58,Calculations!L57))</f>
        <v>1.3680000000000001</v>
      </c>
      <c r="F9" s="160">
        <f>B9*E9</f>
        <v>273.60000000000002</v>
      </c>
      <c r="G9" s="160">
        <f>E9*C9</f>
        <v>0</v>
      </c>
      <c r="H9" s="160">
        <f>E9*D9</f>
        <v>0</v>
      </c>
      <c r="I9"/>
      <c r="J9"/>
    </row>
    <row r="10" spans="1:10">
      <c r="A10" s="125" t="s">
        <v>271</v>
      </c>
      <c r="B10" s="160">
        <f>NonAOIStudCnt912CY</f>
        <v>0</v>
      </c>
      <c r="C10" s="160">
        <f>AOIFTStudCnt912CY</f>
        <v>0</v>
      </c>
      <c r="D10" s="160">
        <f>AOIPTStudCnt912CY</f>
        <v>0</v>
      </c>
      <c r="E10" s="160">
        <f>IF(AND(B10=0,C10=0,D10=0),0,IF(OR('Data Entry'!B29="X",'Data Entry'!B30="X",'Data Entry'!B31="X",'Data Entry'!B32="X"),Calculations!N58,Calculations!N57))</f>
        <v>0</v>
      </c>
      <c r="F10" s="160">
        <f>B10*E10</f>
        <v>0</v>
      </c>
      <c r="G10" s="160">
        <f>E10*C10</f>
        <v>0</v>
      </c>
      <c r="H10" s="160">
        <f>E10*D10</f>
        <v>0</v>
      </c>
      <c r="I10"/>
      <c r="J10"/>
    </row>
    <row r="11" spans="1:10">
      <c r="A11" s="161" t="s">
        <v>355</v>
      </c>
      <c r="B11" s="162">
        <f>SUM(B8:B10)</f>
        <v>200</v>
      </c>
      <c r="C11" s="163">
        <f>SUM(C8:C10)</f>
        <v>0</v>
      </c>
      <c r="D11" s="163">
        <f>SUM(D8:D10)</f>
        <v>0</v>
      </c>
      <c r="E11" s="164"/>
      <c r="F11" s="164"/>
      <c r="G11" s="164"/>
      <c r="H11" s="164"/>
      <c r="I11"/>
      <c r="J11"/>
    </row>
    <row r="12" spans="1:10" ht="12.75" customHeight="1">
      <c r="A12" s="165" t="s">
        <v>356</v>
      </c>
      <c r="B12" s="166"/>
      <c r="C12" s="164"/>
      <c r="D12" s="163">
        <f>SUM(B11:D11)</f>
        <v>200</v>
      </c>
      <c r="E12" s="164"/>
      <c r="F12" s="164"/>
      <c r="G12" s="164"/>
      <c r="H12" s="164"/>
      <c r="I12"/>
      <c r="J12"/>
    </row>
    <row r="13" spans="1:10" ht="12.75" customHeight="1">
      <c r="A13" s="94" t="s">
        <v>357</v>
      </c>
      <c r="B13" s="167"/>
      <c r="C13" s="164"/>
      <c r="D13" s="164"/>
      <c r="E13" s="164"/>
      <c r="F13" s="163">
        <f>((B8*E8)+(B9*E9)+(B10*E10))</f>
        <v>273.60000000000002</v>
      </c>
      <c r="G13" s="163">
        <f>((C8*E8)+(C9*E9)+(C10*E10))</f>
        <v>0</v>
      </c>
      <c r="H13" s="163">
        <f>((D8*E8)+(D9*E9)+(D10*E10))</f>
        <v>0</v>
      </c>
      <c r="I13"/>
      <c r="J13"/>
    </row>
    <row r="14" spans="1:10" ht="12.75" customHeight="1" thickBot="1">
      <c r="A14" s="168" t="s">
        <v>358</v>
      </c>
      <c r="B14" s="169"/>
      <c r="C14" s="169"/>
      <c r="D14" s="169"/>
      <c r="E14" s="169"/>
      <c r="F14" s="170"/>
      <c r="G14" s="170"/>
      <c r="H14" s="171">
        <f>((B8*E8)+(B9*E9)+(B10*E10))+((C8*E8)+(C9*E9)+(C10*E10))+((D8*E8)+(D9*E9)+(D10*E10))</f>
        <v>273.60000000000002</v>
      </c>
      <c r="I14" s="157"/>
      <c r="J14" s="157"/>
    </row>
    <row r="15" spans="1:10" ht="39" customHeight="1">
      <c r="A15" s="172" t="s">
        <v>359</v>
      </c>
      <c r="B15" s="173" t="s">
        <v>347</v>
      </c>
      <c r="C15" s="173" t="s">
        <v>348</v>
      </c>
      <c r="D15" s="173" t="s">
        <v>349</v>
      </c>
      <c r="E15" s="173" t="s">
        <v>350</v>
      </c>
      <c r="F15" s="173" t="s">
        <v>351</v>
      </c>
      <c r="G15" s="173" t="s">
        <v>352</v>
      </c>
      <c r="H15" s="173" t="s">
        <v>353</v>
      </c>
      <c r="I15"/>
      <c r="J15"/>
    </row>
    <row r="16" spans="1:10">
      <c r="A16" s="4" t="s">
        <v>360</v>
      </c>
      <c r="B16" s="160">
        <f>NonAOIStudCntELL</f>
        <v>26.91</v>
      </c>
      <c r="C16" s="160">
        <f>AOIFTStudCntELL</f>
        <v>0</v>
      </c>
      <c r="D16" s="160">
        <f>AOIPTStudCntELL</f>
        <v>0</v>
      </c>
      <c r="E16" s="160">
        <v>0.115</v>
      </c>
      <c r="F16" s="160">
        <f>E16*NonAOIStudCntELL</f>
        <v>3.0947</v>
      </c>
      <c r="G16" s="160">
        <f>E16*AOIFTStudCntELL</f>
        <v>0</v>
      </c>
      <c r="H16" s="160">
        <f>E16*AOIPTStudCntELL</f>
        <v>0</v>
      </c>
      <c r="I16"/>
      <c r="J16"/>
    </row>
    <row r="17" spans="1:10">
      <c r="A17" s="4" t="s">
        <v>286</v>
      </c>
      <c r="B17" s="160">
        <f>NonAOIStudCntK3</f>
        <v>86.215599999999995</v>
      </c>
      <c r="C17" s="160">
        <f>AOIFTStudCntK3</f>
        <v>0</v>
      </c>
      <c r="D17" s="160">
        <f>AOIPTStudCntK3</f>
        <v>0</v>
      </c>
      <c r="E17" s="160">
        <v>0.06</v>
      </c>
      <c r="F17" s="160">
        <f>E17*NonAOIStudCntK3</f>
        <v>5.1729000000000003</v>
      </c>
      <c r="G17" s="160">
        <f>E17*AOIFTStudCntK3</f>
        <v>0</v>
      </c>
      <c r="H17" s="160">
        <f>E17*AOIPTStudCntK3</f>
        <v>0</v>
      </c>
      <c r="I17"/>
      <c r="J17"/>
    </row>
    <row r="18" spans="1:10" ht="12.75" customHeight="1">
      <c r="A18" s="4" t="s">
        <v>361</v>
      </c>
      <c r="B18" s="160">
        <f>NonAOIStudCntK3Read</f>
        <v>86.215599999999995</v>
      </c>
      <c r="C18" s="160">
        <f>AOIFTStudCntK3Read</f>
        <v>0</v>
      </c>
      <c r="D18" s="160">
        <f>AOIPTStudCntK3Read</f>
        <v>0</v>
      </c>
      <c r="E18" s="160">
        <v>0.04</v>
      </c>
      <c r="F18" s="160">
        <f>E18*NonAOIStudCntK3Read</f>
        <v>3.4485999999999999</v>
      </c>
      <c r="G18" s="160">
        <f>E18*AOIFTStudCntK3Read</f>
        <v>0</v>
      </c>
      <c r="H18" s="160">
        <f>E18*AOIPTStudCntK3Read</f>
        <v>0</v>
      </c>
      <c r="I18"/>
      <c r="J18"/>
    </row>
    <row r="19" spans="1:10" ht="11.25" customHeight="1">
      <c r="A19" s="4" t="s">
        <v>362</v>
      </c>
      <c r="B19" s="160">
        <f>NonAOIStudCntHI</f>
        <v>0</v>
      </c>
      <c r="C19" s="160">
        <f>AOIFTStudCntHI</f>
        <v>0</v>
      </c>
      <c r="D19" s="160">
        <f>AOIPTStudCntHI</f>
        <v>0</v>
      </c>
      <c r="E19" s="160">
        <v>4.7709999999999999</v>
      </c>
      <c r="F19" s="160">
        <f>E19*NonAOIStudCntHI</f>
        <v>0</v>
      </c>
      <c r="G19" s="160">
        <f>E19*AOIFTStudCntHI</f>
        <v>0</v>
      </c>
      <c r="H19" s="160">
        <f>E19*AOIPTStudCntHI</f>
        <v>0</v>
      </c>
      <c r="I19"/>
      <c r="J19"/>
    </row>
    <row r="20" spans="1:10">
      <c r="A20" s="174" t="s">
        <v>363</v>
      </c>
      <c r="B20" s="160">
        <f>NonAOIStudCntMDR.AR.SIDR</f>
        <v>1</v>
      </c>
      <c r="C20" s="160">
        <f>AOIFTStudCntMDR.AR.SIDR</f>
        <v>0</v>
      </c>
      <c r="D20" s="160">
        <f>AOIPTStudCntMDR.AR.SIDR</f>
        <v>0</v>
      </c>
      <c r="E20" s="160">
        <v>6.024</v>
      </c>
      <c r="F20" s="160">
        <f>E20*NonAOIStudCntMDR.AR.SIDR</f>
        <v>6.024</v>
      </c>
      <c r="G20" s="160">
        <f>E20*AOIFTStudCntMDR.AR.SIDR</f>
        <v>0</v>
      </c>
      <c r="H20" s="160">
        <f>E20*AOIPTStudCntMDR.AR.SIDR</f>
        <v>0</v>
      </c>
      <c r="I20"/>
      <c r="J20"/>
    </row>
    <row r="21" spans="1:10" ht="12.75" customHeight="1">
      <c r="A21" s="174" t="s">
        <v>364</v>
      </c>
      <c r="B21" s="160">
        <f>NonAOIStudCntMDSC.ASC.SIDSC</f>
        <v>0</v>
      </c>
      <c r="C21" s="160">
        <f>AOIFTStudCntMDSC.ASC.SIDSC</f>
        <v>0</v>
      </c>
      <c r="D21" s="160">
        <f>AOIPTStudCntMDSC.ASC.SIDSC</f>
        <v>0</v>
      </c>
      <c r="E21" s="160">
        <v>5.9880000000000004</v>
      </c>
      <c r="F21" s="160">
        <f>E21*NonAOIStudCntMDSC.ASC.SIDSC</f>
        <v>0</v>
      </c>
      <c r="G21" s="160">
        <f>E21*AOIFTStudCntMDSC.ASC.SIDSC</f>
        <v>0</v>
      </c>
      <c r="H21" s="160">
        <f>E21*AOIPTStudCntMDSC.ASC.SIDSC</f>
        <v>0</v>
      </c>
      <c r="I21"/>
      <c r="J21"/>
    </row>
    <row r="22" spans="1:10">
      <c r="A22" s="174" t="s">
        <v>365</v>
      </c>
      <c r="B22" s="160">
        <f>NonAOIStudCntMDSSI</f>
        <v>0</v>
      </c>
      <c r="C22" s="160">
        <f>AOIFTStudCntMDSSI</f>
        <v>0</v>
      </c>
      <c r="D22" s="160">
        <f>AOIPTStudCntMDSSI</f>
        <v>0</v>
      </c>
      <c r="E22" s="160">
        <v>7.9470000000000001</v>
      </c>
      <c r="F22" s="160">
        <f>E22*NonAOIStudCntMDSSI</f>
        <v>0</v>
      </c>
      <c r="G22" s="160">
        <f>E22*AOIFTStudCntMDSSI</f>
        <v>0</v>
      </c>
      <c r="H22" s="160">
        <f>E22*AOIPTStudCntMDSSI</f>
        <v>0</v>
      </c>
      <c r="I22"/>
      <c r="J22"/>
    </row>
    <row r="23" spans="1:10">
      <c r="A23" s="174" t="s">
        <v>366</v>
      </c>
      <c r="B23" s="160">
        <f>NonAOIStudCntOIR</f>
        <v>0</v>
      </c>
      <c r="C23" s="160">
        <f>AOIFTStudCntOIR</f>
        <v>0</v>
      </c>
      <c r="D23" s="160">
        <f>AOIPTStudCntOIR</f>
        <v>0</v>
      </c>
      <c r="E23" s="160">
        <v>3.1579999999999999</v>
      </c>
      <c r="F23" s="160">
        <f>E23*NonAOIStudCntOIR</f>
        <v>0</v>
      </c>
      <c r="G23" s="160">
        <f>E23*AOIFTStudCntOIR</f>
        <v>0</v>
      </c>
      <c r="H23" s="160">
        <f>E23*AOIPTStudCntOIR</f>
        <v>0</v>
      </c>
      <c r="I23"/>
      <c r="J23"/>
    </row>
    <row r="24" spans="1:10">
      <c r="A24" s="174" t="s">
        <v>367</v>
      </c>
      <c r="B24" s="160">
        <f>NonAOIStudCntOISC</f>
        <v>0</v>
      </c>
      <c r="C24" s="160">
        <f>AOIFTStudCntOISC</f>
        <v>0</v>
      </c>
      <c r="D24" s="160">
        <f>AOIPTStudCntOISC</f>
        <v>0</v>
      </c>
      <c r="E24" s="160">
        <v>6.7729999999999997</v>
      </c>
      <c r="F24" s="160">
        <f>E24*NonAOIStudCntOISC</f>
        <v>0</v>
      </c>
      <c r="G24" s="160">
        <f>E24*AOIFTStudCntOISC</f>
        <v>0</v>
      </c>
      <c r="H24" s="160">
        <f>E24*AOIPTStudCntOISC</f>
        <v>0</v>
      </c>
      <c r="I24"/>
      <c r="J24"/>
    </row>
    <row r="25" spans="1:10">
      <c r="A25" s="174" t="s">
        <v>368</v>
      </c>
      <c r="B25" s="160">
        <f>NonAOIStudCntP.SD</f>
        <v>0</v>
      </c>
      <c r="C25" s="160">
        <f>AOIFTStudCntP.SD</f>
        <v>0</v>
      </c>
      <c r="D25" s="160">
        <f>AOIPTStudCntP.SD</f>
        <v>0</v>
      </c>
      <c r="E25" s="160">
        <v>3.5950000000000002</v>
      </c>
      <c r="F25" s="160">
        <f>E25*NonAOIStudCntP.SD</f>
        <v>0</v>
      </c>
      <c r="G25" s="160">
        <f>E25*AOIFTStudCntP.SD</f>
        <v>0</v>
      </c>
      <c r="H25" s="160">
        <f>E25*AOIPTStudCntP.SD</f>
        <v>0</v>
      </c>
      <c r="I25"/>
      <c r="J25"/>
    </row>
    <row r="26" spans="1:10">
      <c r="A26" s="174" t="s">
        <v>369</v>
      </c>
      <c r="B26" s="160">
        <f>NonAOIStudCntDD.ED.MIID.SLD.SLI.OHI</f>
        <v>31.673999999999999</v>
      </c>
      <c r="C26" s="160">
        <f>AOIFTStudCntDD.ED.MIID.SLD.SLI.OHI</f>
        <v>0</v>
      </c>
      <c r="D26" s="160">
        <f>AOIPTStudCntDD.ED.MIID.SLD.SLI.OHI</f>
        <v>0</v>
      </c>
      <c r="E26" s="160">
        <v>0.29199999999999998</v>
      </c>
      <c r="F26" s="160">
        <f>E26*NonAOIStudCntDD.ED.MIID.SLD.SLI.OHI</f>
        <v>9.2487999999999992</v>
      </c>
      <c r="G26" s="160">
        <f>E26*AOIFTStudCntDD.ED.MIID.SLD.SLI.OHI</f>
        <v>0</v>
      </c>
      <c r="H26" s="160">
        <f>E26*AOIPTStudCntDD.ED.MIID.SLD.SLI.OHI</f>
        <v>0</v>
      </c>
      <c r="I26"/>
      <c r="J26"/>
    </row>
    <row r="27" spans="1:10">
      <c r="A27" s="174" t="s">
        <v>370</v>
      </c>
      <c r="B27" s="160">
        <f>NonAOIStudCntEDP</f>
        <v>0</v>
      </c>
      <c r="C27" s="160">
        <f>AOIFTStudCntEDP</f>
        <v>0</v>
      </c>
      <c r="D27" s="160">
        <f>AOIPTStudCntEDP</f>
        <v>0</v>
      </c>
      <c r="E27" s="160">
        <v>4.8220000000000001</v>
      </c>
      <c r="F27" s="160">
        <f>E27*NonAOIStudCntEDP</f>
        <v>0</v>
      </c>
      <c r="G27" s="160">
        <f>E27*AOIFTStudCntEDP</f>
        <v>0</v>
      </c>
      <c r="H27" s="160">
        <f>E27*AOIPTStudCntEDP</f>
        <v>0</v>
      </c>
      <c r="I27"/>
      <c r="J27"/>
    </row>
    <row r="28" spans="1:10">
      <c r="A28" s="174" t="s">
        <v>371</v>
      </c>
      <c r="B28" s="160">
        <f>NonAOIStudCntMOID</f>
        <v>0</v>
      </c>
      <c r="C28" s="160">
        <f>AOIFTStudCntMOID</f>
        <v>0</v>
      </c>
      <c r="D28" s="160">
        <f>AOIPTStudCntMOID</f>
        <v>0</v>
      </c>
      <c r="E28" s="160">
        <v>4.4210000000000003</v>
      </c>
      <c r="F28" s="160">
        <f>E28*NonAOIStudCntMOID</f>
        <v>0</v>
      </c>
      <c r="G28" s="160">
        <f>E28*AOIFTStudCntMOID</f>
        <v>0</v>
      </c>
      <c r="H28" s="160">
        <f>E28*AOIPTStudCntMOID</f>
        <v>0</v>
      </c>
      <c r="I28"/>
      <c r="J28"/>
    </row>
    <row r="29" spans="1:10">
      <c r="A29" s="174" t="s">
        <v>372</v>
      </c>
      <c r="B29" s="160">
        <f>NonAOIStudCntVI</f>
        <v>0</v>
      </c>
      <c r="C29" s="160">
        <f>AOIFTStudCntVI</f>
        <v>0</v>
      </c>
      <c r="D29" s="160">
        <f>AOIPTStudCntVI</f>
        <v>0</v>
      </c>
      <c r="E29" s="160">
        <v>4.806</v>
      </c>
      <c r="F29" s="160">
        <f>E29*NonAOIStudCntVI</f>
        <v>0</v>
      </c>
      <c r="G29" s="160">
        <f>E29*AOIFTStudCntVI</f>
        <v>0</v>
      </c>
      <c r="H29" s="160">
        <f>E29*AOIPTStudCntVI</f>
        <v>0</v>
      </c>
      <c r="I29"/>
      <c r="J29"/>
    </row>
    <row r="30" spans="1:10">
      <c r="A30" s="125" t="s">
        <v>374</v>
      </c>
      <c r="B30" s="160">
        <f>NonAOIStudCntFRPL</f>
        <v>125.32729999999999</v>
      </c>
      <c r="C30" s="160">
        <f>AOIFTStudCntFRPL</f>
        <v>0</v>
      </c>
      <c r="D30" s="160">
        <f>AOIPTStudCntFRPL</f>
        <v>0</v>
      </c>
      <c r="E30" s="388">
        <v>2.1999999999999999E-2</v>
      </c>
      <c r="F30" s="160">
        <f>E30*NonAOIStudCntFRPL</f>
        <v>2.7572000000000001</v>
      </c>
      <c r="G30" s="160">
        <f>E30*AOIFTStudCntFRPL</f>
        <v>0</v>
      </c>
      <c r="H30" s="160">
        <f>E30*AOIPTStudCntFRPL</f>
        <v>0</v>
      </c>
      <c r="I30"/>
      <c r="J30"/>
    </row>
    <row r="31" spans="1:10">
      <c r="A31" s="174" t="s">
        <v>373</v>
      </c>
      <c r="B31" s="160">
        <f>NonAOIStudCntG</f>
        <v>0</v>
      </c>
      <c r="C31" s="160">
        <f>AOIFTStudCntG</f>
        <v>0</v>
      </c>
      <c r="D31" s="160">
        <f>AOIPTStudCntG</f>
        <v>0</v>
      </c>
      <c r="E31" s="160">
        <v>7.0000000000000001E-3</v>
      </c>
      <c r="F31" s="160">
        <f>E31*NonAOIStudCntG</f>
        <v>0</v>
      </c>
      <c r="G31" s="160">
        <f>E31*AOIFTStudCntG</f>
        <v>0</v>
      </c>
      <c r="H31" s="160">
        <f>E31*AOIPTStudCntG</f>
        <v>0</v>
      </c>
      <c r="I31"/>
      <c r="J31"/>
    </row>
    <row r="32" spans="1:10">
      <c r="A32" s="175" t="s">
        <v>375</v>
      </c>
      <c r="B32" s="176">
        <f>SUM(B16:B31)</f>
        <v>357.34249999999997</v>
      </c>
      <c r="C32" s="163">
        <f>SUM(C16:C31)</f>
        <v>0</v>
      </c>
      <c r="D32" s="163">
        <f>SUM(D16:D31)</f>
        <v>0</v>
      </c>
      <c r="E32" s="163"/>
      <c r="F32" s="163"/>
      <c r="G32" s="163"/>
      <c r="H32" s="163"/>
      <c r="I32"/>
      <c r="J32"/>
    </row>
    <row r="33" spans="1:10">
      <c r="A33" s="177" t="s">
        <v>376</v>
      </c>
      <c r="B33" s="176"/>
      <c r="C33" s="163"/>
      <c r="D33" s="163">
        <f>SUM(B32:D32)</f>
        <v>357.34249999999997</v>
      </c>
      <c r="E33" s="163"/>
      <c r="F33" s="163"/>
      <c r="G33" s="163"/>
      <c r="H33" s="163"/>
      <c r="I33"/>
      <c r="J33"/>
    </row>
    <row r="34" spans="1:10" ht="12.75" customHeight="1">
      <c r="A34" s="177" t="s">
        <v>377</v>
      </c>
      <c r="B34" s="176"/>
      <c r="C34" s="163"/>
      <c r="D34" s="163"/>
      <c r="E34" s="163"/>
      <c r="F34" s="163">
        <f>((B16*E16)+(B17*E17)+(B18*E18)+(B19*E19)+(B20*E20)+(B21*E21)+(B22*E22)+(B23*E23)+(B24*E24)+(B25*E25)+(B26*E26)+(B27*E27)+(B28*E28)+(B29*E29)+(B30*E30)+(B31*E31))</f>
        <v>29.746200000000002</v>
      </c>
      <c r="G34" s="163">
        <f>((C16*E16)+(C17*E17)+(C18*E18)+(C19*E19)+(C20*E20)+(C21*E21)+(C22*E22)+(C23*E23)+(C24*E24)+(C25*E25)+(C26*E26)+(C27*E27)+(C28*E28)+(C29*E29)+(C30*E30)+(C31*E31))</f>
        <v>0</v>
      </c>
      <c r="H34" s="163">
        <f>((D16*E16)+(D17*E17)+(D18*E18)+(D19*E19)+(D20*E20)+(D21*E21)+(D22*E22)+(D23*E23)+(D24*E24)+(D25*E25)+(D26*E26)+(D27*E27)+(D28*E28)+(D29*E29)+(D30*E30)+(D31*E31))</f>
        <v>0</v>
      </c>
      <c r="I34" s="123"/>
      <c r="J34" s="123"/>
    </row>
    <row r="35" spans="1:10" s="123" customFormat="1">
      <c r="A35" s="177" t="s">
        <v>378</v>
      </c>
      <c r="B35" s="176"/>
      <c r="C35" s="178"/>
      <c r="D35" s="178"/>
      <c r="E35" s="178"/>
      <c r="F35" s="178"/>
      <c r="G35" s="178"/>
      <c r="H35" s="178">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29.746200000000002</v>
      </c>
      <c r="I35" s="179"/>
    </row>
    <row r="36" spans="1:10">
      <c r="A36" s="480" t="str">
        <f>A3</f>
        <v>Freedom Academy Inc</v>
      </c>
      <c r="B36" s="480"/>
      <c r="C36" s="480"/>
      <c r="D36" s="480"/>
      <c r="E36" s="480"/>
      <c r="F36" s="480"/>
      <c r="G36" s="480"/>
      <c r="H36" s="480"/>
      <c r="I36" s="480"/>
      <c r="J36" s="480"/>
    </row>
    <row r="37" spans="1:10">
      <c r="A37" s="480" t="s">
        <v>344</v>
      </c>
      <c r="B37" s="480"/>
      <c r="C37" s="480"/>
      <c r="D37" s="480"/>
      <c r="E37" s="480"/>
      <c r="F37" s="480"/>
      <c r="G37" s="480"/>
      <c r="H37" s="480"/>
      <c r="I37" s="480"/>
      <c r="J37" s="480"/>
    </row>
    <row r="38" spans="1:10">
      <c r="A38" s="480" t="s">
        <v>485</v>
      </c>
      <c r="B38" s="480"/>
      <c r="C38" s="480"/>
      <c r="D38" s="480"/>
      <c r="E38" s="480"/>
      <c r="F38" s="480"/>
      <c r="G38" s="480"/>
      <c r="H38" s="480"/>
      <c r="I38" s="480"/>
      <c r="J38" s="480"/>
    </row>
    <row r="39" spans="1:10" s="123" customFormat="1" ht="13.5" thickBot="1">
      <c r="A39" s="157"/>
      <c r="B39" s="157"/>
      <c r="C39" s="157"/>
      <c r="D39" s="157"/>
      <c r="E39" s="157"/>
      <c r="F39" s="157"/>
      <c r="G39" s="157"/>
      <c r="H39" s="157"/>
      <c r="I39" s="157"/>
      <c r="J39" s="158" t="s">
        <v>379</v>
      </c>
    </row>
    <row r="40" spans="1:10">
      <c r="A40"/>
      <c r="B40"/>
      <c r="C40"/>
      <c r="D40"/>
      <c r="E40"/>
      <c r="F40"/>
      <c r="G40"/>
      <c r="H40"/>
      <c r="I40"/>
      <c r="J40"/>
    </row>
    <row r="41" spans="1:10">
      <c r="A41" s="177" t="s">
        <v>380</v>
      </c>
      <c r="B41"/>
      <c r="C41"/>
      <c r="D41"/>
      <c r="E41"/>
      <c r="F41"/>
      <c r="G41"/>
      <c r="H41"/>
      <c r="I41"/>
      <c r="J41"/>
    </row>
    <row r="42" spans="1:10" ht="38.25">
      <c r="A42" s="180"/>
      <c r="B42"/>
      <c r="C42" s="159" t="s">
        <v>381</v>
      </c>
      <c r="D42"/>
      <c r="E42" s="159" t="s">
        <v>382</v>
      </c>
      <c r="F42"/>
      <c r="G42" s="159" t="s">
        <v>383</v>
      </c>
      <c r="H42"/>
      <c r="I42"/>
      <c r="J42"/>
    </row>
    <row r="43" spans="1:10" ht="13.5" customHeight="1">
      <c r="A43" s="113" t="s">
        <v>357</v>
      </c>
      <c r="B43"/>
      <c r="C43" s="181">
        <f>((B8*E8)+(B9*E9)+(B10*E10))</f>
        <v>273.60000000000002</v>
      </c>
      <c r="D43"/>
      <c r="E43" s="181">
        <f>((C8*E8)+(C9*E9)+(C10*E10))</f>
        <v>0</v>
      </c>
      <c r="F43" s="164"/>
      <c r="G43" s="181">
        <f>((D8*E8)+(D9*E9)+(D10*E10))</f>
        <v>0</v>
      </c>
      <c r="H43" s="164"/>
      <c r="I43"/>
      <c r="J43"/>
    </row>
    <row r="44" spans="1:10">
      <c r="A44" s="113" t="s">
        <v>377</v>
      </c>
      <c r="B44" s="407" t="s">
        <v>274</v>
      </c>
      <c r="C44" s="181">
        <f>((B16*E16)+(B17*E17)+(B18*E18)+(B19*E19)+(B20*E20)+(B21*E21)+(B22*E22)+(B23*E23)+(B24*E24)+(B25*E25)+(B26*E26)+(B27*E27)+(B28*E28)+(B29*E29)+(B30*E30)+(B31*E31))</f>
        <v>29.746200000000002</v>
      </c>
      <c r="D44" s="407" t="s">
        <v>274</v>
      </c>
      <c r="E44" s="181">
        <f>((C16*E16)+(C17*E17)+(C18*E18)+(C19*E19)+(C20*E20)+(C21*E21)+(C22*E22)+(C23*E23)+(C24*E24)+(C25*E25)+(C26*E26)+(C27*E27)+(C28*E28)+(C29*E29)+(C30*E30)+(C31*E31))</f>
        <v>0</v>
      </c>
      <c r="F44" s="182" t="s">
        <v>274</v>
      </c>
      <c r="G44" s="181">
        <f>((D16*E16)+(D17*E17)+(D18*E18)+(D19*E19)+(D20*E20)+(D21*E21)+(D22*E22)+(D23*E23)+(D24*E24)+(D25*E25)+(D26*E26)+(D27*E27)+(D28*E28)+(D29*E29)+(D30*E30)+(D31*E31))</f>
        <v>0</v>
      </c>
      <c r="H44" s="164"/>
      <c r="I44"/>
      <c r="J44"/>
    </row>
    <row r="45" spans="1:10">
      <c r="A45" s="113" t="s">
        <v>384</v>
      </c>
      <c r="B45" s="407" t="s">
        <v>277</v>
      </c>
      <c r="C45" s="181">
        <f>((B8*E8)+(B9*E9)+(B10*E10))+((B16*E16)+(B17*E17)+(B18*E18)+(B19*E19)+(B20*E20)+(B21*E21)+(B22*E22)+(B23*E23)+(B24*E24)+(B25*E25)+(B26*E26)+(B27*E27)+(B28*E28)+(B29*E29)+(B30*E30)+(B31*E31))</f>
        <v>303.34620000000001</v>
      </c>
      <c r="D45" s="407" t="s">
        <v>277</v>
      </c>
      <c r="E45" s="181">
        <f>((C8*E8)+(C9*E9)+(C10*E10))+((C16*E16)+(C17*E17)+(C18*E18)+(C19*E19)+(C20*E20)+(C21*E21)+(C22*E22)+(C23*E23)+(C24*E24)+(C25*E25)+(C26*E26)+(C27*E27)+(C28*E28)+(C29*E29)+(C30*E30)+(C31*E31))</f>
        <v>0</v>
      </c>
      <c r="F45" s="182" t="s">
        <v>277</v>
      </c>
      <c r="G45" s="181">
        <f>((D8*E8)+(D9*E9)+(D10*E10))+((D16*E16)+(D17*E17)+(D18*E18)+(D19*E19)+(D20*E20)+(D21*E21)+(D22*E22)+(D23*E23)+(D24*E24)+(D25*E25)+(D26*E26)+(D27*E27)+(D28*E28)+(D29*E29)+(D30*E30)+(D31*E31))</f>
        <v>0</v>
      </c>
      <c r="H45" s="164"/>
      <c r="I45"/>
      <c r="J45"/>
    </row>
    <row r="46" spans="1:10">
      <c r="A46" s="113" t="s">
        <v>385</v>
      </c>
      <c r="B46" s="407" t="s">
        <v>255</v>
      </c>
      <c r="C46" s="181">
        <v>1</v>
      </c>
      <c r="D46" s="407" t="s">
        <v>255</v>
      </c>
      <c r="E46" s="181">
        <v>0.95</v>
      </c>
      <c r="F46" s="182" t="s">
        <v>255</v>
      </c>
      <c r="G46" s="181">
        <v>0.85</v>
      </c>
      <c r="H46" s="164"/>
      <c r="I46"/>
      <c r="J46"/>
    </row>
    <row r="47" spans="1:10">
      <c r="A47" s="113" t="s">
        <v>386</v>
      </c>
      <c r="B47" s="407" t="s">
        <v>277</v>
      </c>
      <c r="C47" s="181">
        <f>(((B8*E8)+(B9*E9)+(B10*E10))+((B16*E16)+(B17*E17)+(B18*E18)+(B19*E19)+(B20*E20)+(B21*E21)+(B22*E22)+(B23*E23)+(B24*E24)+(B25*E25)+(B26*E26)+(B27*E27)+(B28*E28)+(B29*E29)+(B30*E30)+(B31*E31))*C46)</f>
        <v>303.34620000000001</v>
      </c>
      <c r="D47" s="407" t="s">
        <v>277</v>
      </c>
      <c r="E47" s="181">
        <f>(((C8*E8)+(C9*E9)+(C10*E10))+((C16*E16)+(C17*E17)+(C18*E18)+(C19*E19)+(C20*E20)+(C21*E21)+(C22*E22)+(C23*E23)+(C24*E24)+(C25*E25)+(C26*E26)+(C27*E27)+(C28*E28)+(C29*E29)+(C30*E30)+(C31*E31)))*E46</f>
        <v>0</v>
      </c>
      <c r="F47" s="182" t="s">
        <v>277</v>
      </c>
      <c r="G47" s="181">
        <f>((((D8*E8)+(D9*E9)+(D10*E10))+((D16*E16)+(D17*E17)+(D18*E18)+(D19*E19)+(D20*E20)+(D21*E21)+(D22*E22)+(D23*E23)+(D24*E24)+(D25*E25)+(D26*E26)+(D27*E27)+(D28*E28)+(D29*E29)+(D30*E30)+(D31*E31)))*G46)</f>
        <v>0</v>
      </c>
      <c r="H47" s="164"/>
      <c r="I47"/>
      <c r="J47"/>
    </row>
    <row r="48" spans="1:10">
      <c r="A48"/>
      <c r="B48"/>
      <c r="C48" s="164"/>
      <c r="D48"/>
      <c r="E48" s="164"/>
      <c r="F48" s="164"/>
      <c r="G48" s="164"/>
      <c r="H48" s="164"/>
      <c r="I48"/>
      <c r="J48"/>
    </row>
    <row r="49" spans="1:10">
      <c r="A49" s="183" t="s">
        <v>387</v>
      </c>
      <c r="B49"/>
      <c r="C49" s="164"/>
      <c r="D49" s="184"/>
      <c r="E49" s="164"/>
      <c r="F49" s="164"/>
      <c r="G49" s="164"/>
      <c r="H49" s="185">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303.34620000000001</v>
      </c>
      <c r="I49"/>
      <c r="J49"/>
    </row>
    <row r="50" spans="1:10">
      <c r="A50" s="448" t="s">
        <v>542</v>
      </c>
      <c r="B50" s="450"/>
      <c r="C50" s="455"/>
      <c r="D50" s="450"/>
      <c r="E50" s="450"/>
      <c r="F50" s="450"/>
      <c r="G50" s="450"/>
      <c r="H50" s="451">
        <f>IF('Data Entry'!C85="X",5113.26*1.05,5113.26)</f>
        <v>5113.26</v>
      </c>
      <c r="I50"/>
      <c r="J50"/>
    </row>
    <row r="51" spans="1:10">
      <c r="A51" s="177" t="s">
        <v>388</v>
      </c>
      <c r="B51"/>
      <c r="C51" s="181">
        <f>H49</f>
        <v>303.34620000000001</v>
      </c>
      <c r="D51" s="407" t="s">
        <v>255</v>
      </c>
      <c r="E51" s="186">
        <f>H50</f>
        <v>5113.26</v>
      </c>
      <c r="F51"/>
      <c r="G51"/>
      <c r="H51" s="187">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1551088.09</v>
      </c>
      <c r="I51"/>
      <c r="J51"/>
    </row>
    <row r="52" spans="1:10">
      <c r="A52" s="177"/>
      <c r="B52"/>
      <c r="C52" s="80"/>
      <c r="D52" s="407"/>
      <c r="E52" s="104"/>
      <c r="F52"/>
      <c r="G52"/>
      <c r="H52" s="188"/>
      <c r="I52"/>
      <c r="J52"/>
    </row>
    <row r="53" spans="1:10">
      <c r="A53" s="146" t="s">
        <v>389</v>
      </c>
      <c r="B53"/>
      <c r="C53"/>
      <c r="D53"/>
      <c r="E53"/>
      <c r="F53"/>
      <c r="G53"/>
      <c r="H53" s="94"/>
      <c r="I53"/>
      <c r="J53"/>
    </row>
    <row r="54" spans="1:10">
      <c r="A54" s="146" t="s">
        <v>390</v>
      </c>
      <c r="B54"/>
      <c r="C54"/>
      <c r="D54"/>
      <c r="E54"/>
      <c r="F54"/>
      <c r="G54"/>
      <c r="H54" s="187">
        <f>ROUND(NonFedAuditExp,0)</f>
        <v>13000</v>
      </c>
      <c r="I54"/>
      <c r="J54"/>
    </row>
    <row r="55" spans="1:10">
      <c r="A55" s="146" t="s">
        <v>391</v>
      </c>
      <c r="B55"/>
      <c r="C55"/>
      <c r="D55"/>
      <c r="E55"/>
      <c r="F55"/>
      <c r="G55"/>
      <c r="H55" s="187">
        <f>ROUND(RemoteTimeAdjustment,0)</f>
        <v>0</v>
      </c>
      <c r="I55"/>
      <c r="J55"/>
    </row>
    <row r="56" spans="1:10">
      <c r="A56" s="146"/>
      <c r="B56"/>
      <c r="C56"/>
      <c r="D56"/>
      <c r="E56"/>
      <c r="F56"/>
      <c r="G56"/>
      <c r="H56" s="187"/>
      <c r="I56"/>
      <c r="J56"/>
    </row>
    <row r="57" spans="1:10" hidden="1">
      <c r="A57" s="146"/>
      <c r="B57"/>
      <c r="C57"/>
      <c r="D57"/>
      <c r="E57"/>
      <c r="F57"/>
      <c r="G57"/>
      <c r="H57" s="187"/>
      <c r="I57"/>
      <c r="J57"/>
    </row>
    <row r="58" spans="1:10" hidden="1">
      <c r="A58" s="146"/>
      <c r="B58"/>
      <c r="C58"/>
      <c r="D58"/>
      <c r="E58"/>
      <c r="F58"/>
      <c r="G58"/>
      <c r="H58" s="187"/>
    </row>
    <row r="59" spans="1:10">
      <c r="A59" s="147" t="s">
        <v>392</v>
      </c>
      <c r="B59"/>
      <c r="C59" s="186">
        <f>H51</f>
        <v>1551088.09</v>
      </c>
      <c r="D59" s="407" t="s">
        <v>274</v>
      </c>
      <c r="E59" s="186">
        <f>SUM(H54:H55)</f>
        <v>13000</v>
      </c>
      <c r="F59"/>
      <c r="G59"/>
      <c r="H59" s="187">
        <f>C59+E59</f>
        <v>1564088.09</v>
      </c>
      <c r="I59"/>
      <c r="J59"/>
    </row>
    <row r="60" spans="1:10">
      <c r="A60"/>
      <c r="B60"/>
      <c r="C60"/>
      <c r="D60"/>
      <c r="E60"/>
      <c r="F60"/>
      <c r="G60"/>
      <c r="H60"/>
      <c r="I60"/>
      <c r="J60"/>
    </row>
    <row r="61" spans="1:10" ht="11.25" customHeight="1">
      <c r="A61" s="480" t="str">
        <f>A3</f>
        <v>Freedom Academy Inc</v>
      </c>
      <c r="B61" s="480"/>
      <c r="C61" s="480"/>
      <c r="D61" s="480"/>
      <c r="E61" s="480"/>
      <c r="F61" s="480"/>
      <c r="G61" s="480"/>
      <c r="H61" s="480"/>
      <c r="I61" s="480"/>
      <c r="J61" s="480"/>
    </row>
    <row r="62" spans="1:10" ht="12" customHeight="1">
      <c r="A62" s="480" t="s">
        <v>344</v>
      </c>
      <c r="B62" s="480"/>
      <c r="C62" s="480"/>
      <c r="D62" s="480"/>
      <c r="E62" s="480"/>
      <c r="F62" s="480"/>
      <c r="G62" s="480"/>
      <c r="H62" s="480"/>
      <c r="I62" s="480"/>
      <c r="J62" s="480"/>
    </row>
    <row r="63" spans="1:10">
      <c r="A63" s="480" t="s">
        <v>485</v>
      </c>
      <c r="B63" s="480"/>
      <c r="C63" s="480"/>
      <c r="D63" s="480"/>
      <c r="E63" s="480"/>
      <c r="F63" s="480"/>
      <c r="G63" s="480"/>
      <c r="H63" s="480"/>
      <c r="I63" s="480"/>
      <c r="J63" s="480"/>
    </row>
    <row r="64" spans="1:10" s="123" customFormat="1" ht="13.5" thickBot="1">
      <c r="A64" s="157"/>
      <c r="B64" s="157"/>
      <c r="C64" s="157"/>
      <c r="D64" s="157"/>
      <c r="E64" s="157"/>
      <c r="F64" s="157"/>
      <c r="G64" s="157"/>
      <c r="H64" s="157"/>
      <c r="I64" s="157"/>
      <c r="J64" s="158" t="s">
        <v>393</v>
      </c>
    </row>
    <row r="65" spans="1:10">
      <c r="A65"/>
      <c r="B65"/>
      <c r="C65"/>
      <c r="D65"/>
      <c r="E65"/>
      <c r="F65"/>
      <c r="G65"/>
      <c r="H65"/>
      <c r="I65"/>
      <c r="J65"/>
    </row>
    <row r="66" spans="1:10" ht="13.5" thickBot="1">
      <c r="A66" s="158" t="s">
        <v>394</v>
      </c>
      <c r="B66"/>
      <c r="C66" s="189" t="s">
        <v>269</v>
      </c>
      <c r="D66" s="157"/>
      <c r="E66" s="189" t="s">
        <v>270</v>
      </c>
      <c r="F66" s="157"/>
      <c r="G66" s="189" t="s">
        <v>271</v>
      </c>
      <c r="H66"/>
      <c r="I66"/>
      <c r="J66"/>
    </row>
    <row r="67" spans="1:10">
      <c r="A67" s="139" t="s">
        <v>395</v>
      </c>
      <c r="B67"/>
      <c r="C67" s="190">
        <f>SUM(B8:D8)</f>
        <v>0</v>
      </c>
      <c r="D67" s="164"/>
      <c r="E67" s="190">
        <f>SUM(B9:D9)</f>
        <v>200</v>
      </c>
      <c r="F67" s="164"/>
      <c r="G67" s="190">
        <f>SUM(B10:D10)</f>
        <v>0</v>
      </c>
      <c r="H67"/>
      <c r="I67"/>
      <c r="J67"/>
    </row>
    <row r="68" spans="1:10" ht="13.5" thickBot="1">
      <c r="A68" s="448" t="s">
        <v>396</v>
      </c>
      <c r="B68" s="452" t="s">
        <v>255</v>
      </c>
      <c r="C68" s="453">
        <v>2131.9</v>
      </c>
      <c r="D68" s="454" t="s">
        <v>255</v>
      </c>
      <c r="E68" s="453">
        <v>2131.9</v>
      </c>
      <c r="F68" s="454" t="s">
        <v>255</v>
      </c>
      <c r="G68" s="453">
        <v>2484.69</v>
      </c>
      <c r="H68"/>
      <c r="I68"/>
      <c r="J68"/>
    </row>
    <row r="69" spans="1:10" ht="12" customHeight="1">
      <c r="A69" s="113" t="s">
        <v>397</v>
      </c>
      <c r="B69" s="407" t="s">
        <v>277</v>
      </c>
      <c r="C69" s="186">
        <f>C67*C68</f>
        <v>0</v>
      </c>
      <c r="D69" s="407" t="s">
        <v>277</v>
      </c>
      <c r="E69" s="186">
        <f>E67*E68</f>
        <v>426380</v>
      </c>
      <c r="F69" s="407" t="s">
        <v>277</v>
      </c>
      <c r="G69" s="186">
        <f>G67*G68</f>
        <v>0</v>
      </c>
      <c r="H69"/>
      <c r="I69"/>
      <c r="J69"/>
    </row>
    <row r="70" spans="1:10">
      <c r="A70" s="113" t="s">
        <v>398</v>
      </c>
      <c r="B70"/>
      <c r="C70"/>
      <c r="D70"/>
      <c r="E70"/>
      <c r="F70"/>
      <c r="G70"/>
      <c r="H70" s="187">
        <f>(C67*C68)+(E67*E68)+(G67*G68)</f>
        <v>426380</v>
      </c>
      <c r="I70"/>
      <c r="J70"/>
    </row>
    <row r="71" spans="1:10">
      <c r="A71"/>
      <c r="B71"/>
      <c r="C71"/>
      <c r="D71"/>
      <c r="E71"/>
      <c r="F71"/>
      <c r="G71"/>
      <c r="H71" s="184"/>
      <c r="I71"/>
      <c r="J71"/>
    </row>
    <row r="72" spans="1:10">
      <c r="A72" s="177" t="s">
        <v>399</v>
      </c>
      <c r="B72"/>
      <c r="C72"/>
      <c r="D72"/>
      <c r="E72"/>
      <c r="F72"/>
      <c r="G72"/>
      <c r="H72" s="184"/>
      <c r="I72"/>
      <c r="J72"/>
    </row>
    <row r="73" spans="1:10">
      <c r="A73"/>
      <c r="B73"/>
      <c r="C73"/>
      <c r="D73"/>
      <c r="E73"/>
      <c r="F73"/>
      <c r="G73"/>
      <c r="H73" s="184"/>
      <c r="I73"/>
      <c r="J73"/>
    </row>
    <row r="74" spans="1:10">
      <c r="A74" s="94" t="s">
        <v>400</v>
      </c>
      <c r="B74"/>
      <c r="C74"/>
      <c r="D74"/>
      <c r="E74"/>
      <c r="F74"/>
      <c r="G74"/>
      <c r="H74" s="187">
        <f>C69+E69+G69</f>
        <v>426380</v>
      </c>
      <c r="I74"/>
      <c r="J74"/>
    </row>
    <row r="75" spans="1:10">
      <c r="A75"/>
      <c r="B75"/>
      <c r="C75"/>
      <c r="D75"/>
      <c r="E75"/>
      <c r="F75"/>
      <c r="G75"/>
      <c r="H75" s="184"/>
      <c r="I75"/>
      <c r="J75"/>
    </row>
    <row r="76" spans="1:10">
      <c r="A76" s="94" t="s">
        <v>401</v>
      </c>
      <c r="B76"/>
      <c r="C76"/>
      <c r="D76"/>
      <c r="E76"/>
      <c r="F76"/>
      <c r="G76"/>
      <c r="H76" s="184"/>
      <c r="I76"/>
      <c r="J76"/>
    </row>
    <row r="77" spans="1:10">
      <c r="A77" t="s">
        <v>402</v>
      </c>
      <c r="B77"/>
      <c r="C77" s="186">
        <f>H59</f>
        <v>1564088.09</v>
      </c>
      <c r="D77"/>
      <c r="E77"/>
      <c r="F77"/>
      <c r="G77"/>
      <c r="H77" s="184"/>
      <c r="I77"/>
      <c r="J77"/>
    </row>
    <row r="78" spans="1:10">
      <c r="A78" t="s">
        <v>403</v>
      </c>
      <c r="B78" s="407" t="s">
        <v>274</v>
      </c>
      <c r="C78" s="186">
        <f>H74</f>
        <v>426380</v>
      </c>
      <c r="D78"/>
      <c r="E78"/>
      <c r="F78"/>
      <c r="G78"/>
      <c r="H78" s="184"/>
      <c r="I78"/>
      <c r="J78"/>
    </row>
    <row r="79" spans="1:10">
      <c r="A79"/>
      <c r="B79" s="407" t="s">
        <v>277</v>
      </c>
      <c r="C79" s="186">
        <f>C77+C78</f>
        <v>1990468.09</v>
      </c>
      <c r="D79"/>
      <c r="E79"/>
      <c r="F79"/>
      <c r="G79"/>
      <c r="H79" s="184"/>
      <c r="I79"/>
      <c r="J79"/>
    </row>
    <row r="80" spans="1:10">
      <c r="A80" s="94" t="s">
        <v>404</v>
      </c>
      <c r="B80"/>
      <c r="C80"/>
      <c r="D80"/>
      <c r="E80"/>
      <c r="F80"/>
      <c r="G80"/>
      <c r="H80" s="187">
        <f>C79</f>
        <v>1990468.09</v>
      </c>
      <c r="I80"/>
      <c r="J80"/>
    </row>
    <row r="81" spans="1:10">
      <c r="A81"/>
      <c r="B81"/>
      <c r="C81"/>
      <c r="D81"/>
      <c r="E81"/>
      <c r="F81"/>
      <c r="G81"/>
      <c r="H81" s="184"/>
      <c r="I81"/>
      <c r="J81"/>
    </row>
    <row r="82" spans="1:10">
      <c r="A82"/>
      <c r="B82"/>
      <c r="C82"/>
      <c r="D82"/>
      <c r="E82"/>
      <c r="F82"/>
      <c r="G82"/>
      <c r="H82" s="184"/>
      <c r="I82"/>
      <c r="J82"/>
    </row>
    <row r="83" spans="1:10">
      <c r="A83"/>
      <c r="B83"/>
      <c r="C83"/>
      <c r="D83"/>
      <c r="E83"/>
      <c r="F83"/>
      <c r="G83"/>
      <c r="H83" s="187">
        <f>H80</f>
        <v>1990468.09</v>
      </c>
      <c r="I83"/>
      <c r="J83"/>
    </row>
    <row r="84" spans="1:10">
      <c r="A84"/>
      <c r="B84"/>
      <c r="C84"/>
      <c r="D84"/>
      <c r="E84"/>
      <c r="F84"/>
      <c r="G84"/>
      <c r="H84" s="5"/>
      <c r="I84"/>
      <c r="J84"/>
    </row>
    <row r="96" spans="1:10" ht="11.25" customHeight="1"/>
    <row r="97" ht="42" customHeight="1"/>
    <row r="104" ht="42" customHeight="1"/>
    <row r="126" ht="42" customHeight="1"/>
    <row r="179" ht="30.75" customHeight="1"/>
  </sheetData>
  <sheetProtection sheet="1" formatCells="0" formatColumns="0" formatRows="0"/>
  <mergeCells count="12">
    <mergeCell ref="B1:C1"/>
    <mergeCell ref="E1:G1"/>
    <mergeCell ref="I1:J1"/>
    <mergeCell ref="A3:J3"/>
    <mergeCell ref="A4:J4"/>
    <mergeCell ref="A5:J5"/>
    <mergeCell ref="A63:J63"/>
    <mergeCell ref="A36:J36"/>
    <mergeCell ref="A37:J37"/>
    <mergeCell ref="A38:J38"/>
    <mergeCell ref="A61:J61"/>
    <mergeCell ref="A62:J62"/>
  </mergeCells>
  <pageMargins left="0.7" right="0.7" top="0.75" bottom="0.75" header="0.3" footer="0.3"/>
  <pageSetup scale="55" orientation="landscape" r:id="rId1"/>
  <headerFooter>
    <oddFooter>&amp;L&amp;"Arial,Bold"Rev. 5/25 Arizona Department of Education and Auditor General&amp;R&amp;"Arial,Bold"BSA55</oddFooter>
  </headerFooter>
  <rowBreaks count="2" manualBreakCount="2">
    <brk id="35" max="16383" man="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showGridLines="0" topLeftCell="A23" workbookViewId="0">
      <selection activeCell="C26" sqref="C26"/>
    </sheetView>
  </sheetViews>
  <sheetFormatPr defaultColWidth="9.42578125" defaultRowHeight="12.75"/>
  <cols>
    <col min="1" max="1" width="13.42578125" style="124" customWidth="1"/>
    <col min="2" max="2" width="23.42578125" style="125" customWidth="1"/>
    <col min="3" max="3" width="88.5703125" style="146" customWidth="1"/>
    <col min="4" max="4" width="34.85546875" style="139" customWidth="1"/>
  </cols>
  <sheetData>
    <row r="1" spans="1:6" ht="51.75" customHeight="1">
      <c r="A1" s="151" t="s">
        <v>405</v>
      </c>
      <c r="B1" s="151" t="s">
        <v>406</v>
      </c>
      <c r="C1" s="152" t="s">
        <v>407</v>
      </c>
      <c r="D1" s="151" t="s">
        <v>408</v>
      </c>
    </row>
    <row r="2" spans="1:6" ht="234.75" customHeight="1">
      <c r="A2" s="153" t="s">
        <v>409</v>
      </c>
      <c r="B2" s="125" t="s">
        <v>410</v>
      </c>
      <c r="C2" s="113" t="s">
        <v>537</v>
      </c>
      <c r="D2" s="113"/>
      <c r="F2" s="146"/>
    </row>
    <row r="3" spans="1:6" ht="44.25" customHeight="1">
      <c r="A3" s="153" t="s">
        <v>409</v>
      </c>
      <c r="B3" s="125" t="s">
        <v>2</v>
      </c>
      <c r="C3" s="113" t="s">
        <v>411</v>
      </c>
    </row>
    <row r="4" spans="1:6" ht="76.5" customHeight="1">
      <c r="A4" s="153" t="s">
        <v>409</v>
      </c>
      <c r="B4" s="125" t="s">
        <v>18</v>
      </c>
      <c r="C4" s="113" t="s">
        <v>412</v>
      </c>
    </row>
    <row r="5" spans="1:6" ht="102" customHeight="1">
      <c r="A5" s="389" t="s">
        <v>409</v>
      </c>
      <c r="B5" s="440" t="s">
        <v>459</v>
      </c>
      <c r="C5" s="448" t="s">
        <v>538</v>
      </c>
      <c r="D5" s="435" t="s">
        <v>539</v>
      </c>
    </row>
    <row r="6" spans="1:6" ht="37.5" customHeight="1">
      <c r="A6" s="153" t="s">
        <v>409</v>
      </c>
      <c r="B6" s="125" t="s">
        <v>413</v>
      </c>
      <c r="C6" s="113" t="s">
        <v>536</v>
      </c>
    </row>
    <row r="7" spans="1:6" ht="112.5" customHeight="1">
      <c r="A7" s="153" t="s">
        <v>409</v>
      </c>
      <c r="B7" s="125" t="s">
        <v>250</v>
      </c>
      <c r="C7" s="113" t="s">
        <v>414</v>
      </c>
    </row>
    <row r="8" spans="1:6" ht="177" customHeight="1">
      <c r="A8" s="410">
        <v>1</v>
      </c>
      <c r="B8" s="125" t="s">
        <v>410</v>
      </c>
      <c r="C8" s="139" t="s">
        <v>473</v>
      </c>
      <c r="D8" s="439"/>
    </row>
    <row r="9" spans="1:6" ht="87.75" customHeight="1">
      <c r="A9" s="153">
        <v>1</v>
      </c>
      <c r="B9" s="125" t="s">
        <v>415</v>
      </c>
      <c r="C9" s="113" t="s">
        <v>416</v>
      </c>
    </row>
    <row r="10" spans="1:6" ht="17.25" customHeight="1">
      <c r="A10" s="153"/>
      <c r="C10" s="154" t="s">
        <v>417</v>
      </c>
    </row>
    <row r="11" spans="1:6" ht="49.5" customHeight="1">
      <c r="A11" s="410">
        <v>1</v>
      </c>
      <c r="B11" s="125" t="s">
        <v>418</v>
      </c>
      <c r="C11" s="411" t="s">
        <v>419</v>
      </c>
    </row>
    <row r="12" spans="1:6" ht="47.25" customHeight="1">
      <c r="A12" s="389">
        <v>1</v>
      </c>
      <c r="B12" s="440" t="s">
        <v>420</v>
      </c>
      <c r="C12" s="435" t="s">
        <v>523</v>
      </c>
      <c r="D12" s="435" t="s">
        <v>421</v>
      </c>
    </row>
    <row r="13" spans="1:6" ht="81.75" customHeight="1">
      <c r="A13" s="153">
        <v>2</v>
      </c>
      <c r="B13" s="125" t="s">
        <v>115</v>
      </c>
      <c r="C13" s="139" t="s">
        <v>524</v>
      </c>
      <c r="D13" s="155"/>
    </row>
    <row r="14" spans="1:6" ht="133.5" customHeight="1">
      <c r="A14" s="153">
        <v>2</v>
      </c>
      <c r="B14" s="125" t="s">
        <v>422</v>
      </c>
      <c r="C14" s="113" t="s">
        <v>423</v>
      </c>
    </row>
    <row r="15" spans="1:6" ht="127.5" customHeight="1">
      <c r="A15" s="153">
        <v>2</v>
      </c>
      <c r="B15" s="125" t="s">
        <v>424</v>
      </c>
      <c r="C15" s="139" t="s">
        <v>425</v>
      </c>
    </row>
    <row r="16" spans="1:6" ht="52.5" customHeight="1">
      <c r="A16" s="386">
        <v>2</v>
      </c>
      <c r="B16" s="387" t="s">
        <v>179</v>
      </c>
      <c r="C16" s="385" t="s">
        <v>426</v>
      </c>
      <c r="D16" s="390"/>
    </row>
    <row r="17" spans="1:4" ht="96.75" customHeight="1">
      <c r="A17" s="410">
        <v>2</v>
      </c>
      <c r="B17" s="125" t="s">
        <v>185</v>
      </c>
      <c r="C17" s="139" t="s">
        <v>474</v>
      </c>
      <c r="D17" s="439"/>
    </row>
    <row r="18" spans="1:4" ht="45.75" customHeight="1">
      <c r="A18" s="153">
        <v>2</v>
      </c>
      <c r="B18" s="125" t="s">
        <v>116</v>
      </c>
      <c r="C18" s="113" t="s">
        <v>427</v>
      </c>
    </row>
    <row r="19" spans="1:4" ht="32.25" customHeight="1">
      <c r="A19" s="153">
        <v>2</v>
      </c>
      <c r="B19" s="125" t="s">
        <v>428</v>
      </c>
      <c r="C19" s="113" t="s">
        <v>429</v>
      </c>
    </row>
    <row r="20" spans="1:4" ht="54" customHeight="1">
      <c r="A20" s="153">
        <v>2</v>
      </c>
      <c r="B20" s="125" t="s">
        <v>430</v>
      </c>
      <c r="C20" s="139" t="s">
        <v>431</v>
      </c>
      <c r="D20" s="155"/>
    </row>
    <row r="21" spans="1:4" ht="63.75" customHeight="1">
      <c r="A21" s="153">
        <v>2</v>
      </c>
      <c r="B21" s="125" t="s">
        <v>161</v>
      </c>
      <c r="C21" s="113" t="s">
        <v>432</v>
      </c>
    </row>
    <row r="22" spans="1:4" ht="116.25" customHeight="1">
      <c r="A22" s="153">
        <v>2</v>
      </c>
      <c r="B22" s="125" t="s">
        <v>433</v>
      </c>
      <c r="C22" s="113" t="s">
        <v>525</v>
      </c>
    </row>
    <row r="23" spans="1:4" ht="35.25" customHeight="1">
      <c r="A23" s="153">
        <v>2</v>
      </c>
      <c r="B23" s="125" t="s">
        <v>434</v>
      </c>
      <c r="C23" s="113" t="s">
        <v>435</v>
      </c>
    </row>
    <row r="24" spans="1:4" ht="39" customHeight="1">
      <c r="A24" s="153">
        <v>2</v>
      </c>
      <c r="B24" s="125" t="s">
        <v>436</v>
      </c>
      <c r="C24" s="113" t="s">
        <v>437</v>
      </c>
    </row>
    <row r="25" spans="1:4" ht="72.75" customHeight="1">
      <c r="A25" s="410">
        <v>2</v>
      </c>
      <c r="B25" s="125" t="s">
        <v>183</v>
      </c>
      <c r="C25" s="139" t="s">
        <v>475</v>
      </c>
      <c r="D25" s="439"/>
    </row>
    <row r="26" spans="1:4" ht="102">
      <c r="A26" s="389">
        <v>3</v>
      </c>
      <c r="B26" s="440" t="s">
        <v>242</v>
      </c>
      <c r="C26" s="435" t="s">
        <v>526</v>
      </c>
      <c r="D26" s="449" t="s">
        <v>438</v>
      </c>
    </row>
    <row r="27" spans="1:4" ht="102" customHeight="1">
      <c r="A27" s="153">
        <v>3</v>
      </c>
      <c r="B27" s="125" t="s">
        <v>242</v>
      </c>
      <c r="C27" s="139" t="s">
        <v>439</v>
      </c>
    </row>
    <row r="28" spans="1:4" ht="79.5" customHeight="1">
      <c r="A28" s="410">
        <v>3</v>
      </c>
      <c r="B28" s="125" t="s">
        <v>440</v>
      </c>
      <c r="C28" s="139" t="s">
        <v>476</v>
      </c>
      <c r="D28" s="439"/>
    </row>
    <row r="29" spans="1:4" ht="57.75" customHeight="1">
      <c r="A29" s="153">
        <v>4</v>
      </c>
      <c r="B29" s="125" t="s">
        <v>441</v>
      </c>
      <c r="C29" s="139" t="s">
        <v>442</v>
      </c>
    </row>
    <row r="30" spans="1:4" ht="56.25" customHeight="1">
      <c r="A30" s="153">
        <v>4</v>
      </c>
      <c r="B30" s="125" t="s">
        <v>443</v>
      </c>
      <c r="C30" s="139" t="s">
        <v>444</v>
      </c>
    </row>
    <row r="31" spans="1:4" ht="45" customHeight="1">
      <c r="A31" s="409" t="s">
        <v>445</v>
      </c>
      <c r="B31" s="125" t="s">
        <v>410</v>
      </c>
      <c r="C31" s="139" t="s">
        <v>446</v>
      </c>
    </row>
    <row r="32" spans="1:4" ht="45" customHeight="1">
      <c r="A32" s="409" t="s">
        <v>466</v>
      </c>
      <c r="B32" s="125" t="s">
        <v>447</v>
      </c>
      <c r="C32" s="139" t="s">
        <v>527</v>
      </c>
    </row>
    <row r="33" spans="1:3" ht="46.5" customHeight="1">
      <c r="A33" s="409" t="s">
        <v>466</v>
      </c>
      <c r="B33" s="125" t="s">
        <v>448</v>
      </c>
      <c r="C33" s="139" t="s">
        <v>528</v>
      </c>
    </row>
    <row r="34" spans="1:3" ht="47.25" customHeight="1">
      <c r="A34" s="409" t="s">
        <v>466</v>
      </c>
      <c r="B34" s="125" t="s">
        <v>449</v>
      </c>
      <c r="C34" s="139" t="s">
        <v>529</v>
      </c>
    </row>
    <row r="35" spans="1:3" ht="50.25" customHeight="1">
      <c r="A35" s="409" t="s">
        <v>466</v>
      </c>
      <c r="B35" s="125" t="s">
        <v>450</v>
      </c>
      <c r="C35" s="139" t="s">
        <v>530</v>
      </c>
    </row>
    <row r="36" spans="1:3" ht="56.25" customHeight="1">
      <c r="A36" s="409" t="s">
        <v>466</v>
      </c>
      <c r="B36" s="125" t="s">
        <v>451</v>
      </c>
      <c r="C36" s="139" t="s">
        <v>531</v>
      </c>
    </row>
    <row r="37" spans="1:3" ht="61.5" customHeight="1">
      <c r="A37" s="409" t="s">
        <v>466</v>
      </c>
      <c r="B37" s="125" t="s">
        <v>452</v>
      </c>
      <c r="C37" s="139" t="s">
        <v>532</v>
      </c>
    </row>
    <row r="38" spans="1:3" ht="72" customHeight="1">
      <c r="A38" s="409" t="s">
        <v>466</v>
      </c>
      <c r="B38" s="125" t="s">
        <v>453</v>
      </c>
      <c r="C38" s="139" t="s">
        <v>533</v>
      </c>
    </row>
    <row r="39" spans="1:3" ht="61.5" customHeight="1">
      <c r="A39" s="409" t="s">
        <v>466</v>
      </c>
      <c r="B39" s="125" t="s">
        <v>454</v>
      </c>
      <c r="C39" s="139" t="s">
        <v>534</v>
      </c>
    </row>
    <row r="40" spans="1:3" ht="48" customHeight="1">
      <c r="A40" s="409" t="s">
        <v>466</v>
      </c>
      <c r="B40" s="125" t="s">
        <v>455</v>
      </c>
      <c r="C40" s="139" t="s">
        <v>535</v>
      </c>
    </row>
    <row r="41" spans="1:3" ht="38.25">
      <c r="A41" s="409" t="s">
        <v>466</v>
      </c>
      <c r="B41" s="125" t="s">
        <v>456</v>
      </c>
      <c r="C41" s="139" t="s">
        <v>457</v>
      </c>
    </row>
    <row r="42" spans="1:3">
      <c r="A42" s="4"/>
    </row>
  </sheetData>
  <sheetProtection sheet="1" objects="1" scenarios="1"/>
  <hyperlinks>
    <hyperlink ref="A2" location="Cover!A1" display="Cover"/>
    <hyperlink ref="A4" location="Cover!A1" display="Cover"/>
    <hyperlink ref="A8" location="'Page 1'!A1" display="'Page 1'!A1"/>
    <hyperlink ref="A11" location="'Page 1'!A1" display="'Page 1'!A1"/>
    <hyperlink ref="A13" location="'Page 2'!A1" display="'Page 2'!A1"/>
    <hyperlink ref="A17" location="'Page 2'!A1" display="'Page 2'!A1"/>
    <hyperlink ref="A22" location="'Page 2'!A1" display="'Page 2'!A1"/>
    <hyperlink ref="A26" location="'Page 3'!A1" display="'Page 3'!A1"/>
    <hyperlink ref="A29" location="'Page 4'!A1" display="'Page 4'!A1"/>
    <hyperlink ref="A30" location="'Page 4'!A1" display="'Page 4'!A1"/>
    <hyperlink ref="A9" location="'Page 1'!A1" display="'Page 1'!A1"/>
    <hyperlink ref="A12" location="'Page 1'!A1" display="'Page 1'!A1"/>
    <hyperlink ref="A18" location="'Page 2'!A1" display="'Page 2'!A1"/>
    <hyperlink ref="A21" location="'Page 2'!A1" display="'Page 2'!A1"/>
    <hyperlink ref="A6" location="Cover!A1" display="Cover"/>
    <hyperlink ref="A3" location="Cover!A1" display="Cover"/>
    <hyperlink ref="A31" location="'Budget Summary'!A1" display="Budget Summary"/>
    <hyperlink ref="A23" location="'Page 2'!A1" display="'Page 2'!A1"/>
    <hyperlink ref="A24" location="'Page 2'!A1" display="'Page 2'!A1"/>
    <hyperlink ref="A19" location="'Page 2'!A1" display="'Page 2'!A1"/>
    <hyperlink ref="A14" location="'Page 2'!A1" display="'Page 2'!A1"/>
    <hyperlink ref="C10" r:id="rId1"/>
    <hyperlink ref="A7" location="Cover!A1" display="Cover"/>
    <hyperlink ref="A15" location="'Page 2'!A1" display="'Page 2'!A1"/>
    <hyperlink ref="A27" location="'Page 3'!A1" display="'Page 3'!A1"/>
    <hyperlink ref="A25" location="'Page 2'!A1" display="'Page 2'!A1"/>
    <hyperlink ref="A20" location="'Page 2'!A1" display="'Page 2'!A1"/>
    <hyperlink ref="A28" location="'Page 3'!A1" display="'Page 3'!A1"/>
    <hyperlink ref="A16" location="'Page 2'!A1" display="'Page 2'!A1"/>
    <hyperlink ref="A5" location="Cover!A1" display="Cover"/>
    <hyperlink ref="A32" location="'Project balances'!A1" display="Project balances"/>
    <hyperlink ref="A33:A41" location="'Project balances'!A1" display="Project balances"/>
  </hyperlinks>
  <pageMargins left="0.7" right="0.7" top="0.75" bottom="0.75" header="0.3" footer="0.3"/>
  <pageSetup scale="79" orientation="landscape" r:id="rId2"/>
  <headerFooter scaleWithDoc="0">
    <oddFooter>&amp;L&amp;"Arial,Bold"Rev. 5/25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9"/>
  <sheetViews>
    <sheetView showGridLines="0" topLeftCell="A52" zoomScale="90" zoomScaleNormal="90" workbookViewId="0">
      <selection activeCell="A49" sqref="A49:XFD49"/>
    </sheetView>
  </sheetViews>
  <sheetFormatPr defaultColWidth="9" defaultRowHeight="12.75" customHeight="1"/>
  <cols>
    <col min="1" max="2" width="1.5703125" customWidth="1"/>
    <col min="3" max="3" width="14.5703125" customWidth="1"/>
    <col min="4" max="4" width="41.42578125" customWidth="1"/>
    <col min="5" max="5" width="4" customWidth="1"/>
    <col min="6" max="13" width="12.5703125" customWidth="1"/>
    <col min="14" max="14" width="4" style="5" customWidth="1"/>
    <col min="15" max="15" width="9" customWidth="1"/>
  </cols>
  <sheetData>
    <row r="1" spans="1:14" ht="12" customHeight="1">
      <c r="A1" t="s">
        <v>0</v>
      </c>
      <c r="D1" s="501" t="str">
        <f>CharterName</f>
        <v>Freedom Academy Inc</v>
      </c>
      <c r="E1" s="501"/>
      <c r="F1" s="501"/>
      <c r="H1" s="407" t="s">
        <v>1</v>
      </c>
      <c r="I1" s="502" t="str">
        <f>Cover!M1</f>
        <v>Maricopa</v>
      </c>
      <c r="J1" s="502"/>
      <c r="L1" s="407" t="s">
        <v>2</v>
      </c>
      <c r="M1" s="502" t="str">
        <f>CTD</f>
        <v>078528000</v>
      </c>
      <c r="N1" s="502"/>
    </row>
    <row r="2" spans="1:14" ht="3.75" customHeight="1">
      <c r="A2" s="193"/>
      <c r="B2" s="193"/>
      <c r="C2" s="193"/>
      <c r="D2" s="129"/>
      <c r="E2" s="193"/>
      <c r="F2" s="193"/>
      <c r="G2" s="193"/>
      <c r="H2" s="193"/>
      <c r="I2" s="193"/>
      <c r="J2" s="403"/>
      <c r="K2" s="403"/>
      <c r="L2" s="403"/>
      <c r="M2" s="403"/>
    </row>
    <row r="3" spans="1:14" ht="12" customHeight="1">
      <c r="B3" s="194"/>
      <c r="D3" s="457" t="s">
        <v>543</v>
      </c>
      <c r="F3" s="195"/>
      <c r="H3" s="195" t="s">
        <v>67</v>
      </c>
      <c r="I3" s="195"/>
      <c r="J3" s="195"/>
      <c r="K3" s="196" t="s">
        <v>68</v>
      </c>
      <c r="L3" s="197"/>
      <c r="M3" s="198"/>
      <c r="N3" s="82"/>
    </row>
    <row r="4" spans="1:14" ht="12" customHeight="1">
      <c r="A4" t="s">
        <v>69</v>
      </c>
      <c r="D4" s="456"/>
      <c r="F4" s="199"/>
      <c r="G4" s="200" t="s">
        <v>70</v>
      </c>
      <c r="H4" s="195" t="s">
        <v>71</v>
      </c>
      <c r="J4" s="199"/>
      <c r="K4" s="195" t="s">
        <v>72</v>
      </c>
      <c r="L4" s="195" t="s">
        <v>73</v>
      </c>
      <c r="M4" s="107" t="s">
        <v>74</v>
      </c>
      <c r="N4" s="82"/>
    </row>
    <row r="5" spans="1:14" ht="12" customHeight="1">
      <c r="D5" s="456"/>
      <c r="F5" s="195" t="s">
        <v>75</v>
      </c>
      <c r="G5" s="200" t="s">
        <v>76</v>
      </c>
      <c r="H5" s="195" t="s">
        <v>77</v>
      </c>
      <c r="I5" s="195" t="s">
        <v>78</v>
      </c>
      <c r="J5" s="195" t="s">
        <v>79</v>
      </c>
      <c r="K5" s="195" t="s">
        <v>80</v>
      </c>
      <c r="L5" s="195" t="s">
        <v>80</v>
      </c>
      <c r="M5" s="107" t="s">
        <v>81</v>
      </c>
      <c r="N5" s="82"/>
    </row>
    <row r="6" spans="1:14" ht="12" customHeight="1">
      <c r="A6" s="201" t="s">
        <v>82</v>
      </c>
      <c r="B6" s="403"/>
      <c r="C6" s="403"/>
      <c r="D6" s="403"/>
      <c r="E6" s="403"/>
      <c r="F6" s="202">
        <v>6100</v>
      </c>
      <c r="G6" s="202">
        <v>6200</v>
      </c>
      <c r="H6" s="202">
        <v>6500</v>
      </c>
      <c r="I6" s="202">
        <v>6600</v>
      </c>
      <c r="J6" s="202">
        <v>6800</v>
      </c>
      <c r="K6" s="195">
        <v>2025</v>
      </c>
      <c r="L6" s="107">
        <v>2026</v>
      </c>
      <c r="M6" s="107" t="s">
        <v>83</v>
      </c>
      <c r="N6" s="82"/>
    </row>
    <row r="7" spans="1:14" ht="12" customHeight="1">
      <c r="A7" t="s">
        <v>84</v>
      </c>
      <c r="F7" s="203"/>
      <c r="G7" s="203"/>
      <c r="H7" s="203"/>
      <c r="I7" s="203"/>
      <c r="J7" s="204"/>
      <c r="K7" s="205"/>
      <c r="L7" s="205"/>
      <c r="M7" s="206"/>
    </row>
    <row r="8" spans="1:14" ht="12" customHeight="1">
      <c r="B8" t="s">
        <v>85</v>
      </c>
      <c r="E8" s="391">
        <v>1</v>
      </c>
      <c r="F8" s="7">
        <f>652780-345.8</f>
        <v>652434</v>
      </c>
      <c r="G8" s="7">
        <v>198050</v>
      </c>
      <c r="H8" s="7">
        <v>14507</v>
      </c>
      <c r="I8" s="7">
        <v>61907</v>
      </c>
      <c r="J8" s="22">
        <v>12496</v>
      </c>
      <c r="K8" s="209">
        <f>[1]!SP1000P100F1000</f>
        <v>1054837</v>
      </c>
      <c r="L8" s="209">
        <f>SUM(F8:J8)</f>
        <v>939394</v>
      </c>
      <c r="M8" s="210">
        <f>IF(K8=0," ",(L8-K8)/K8)</f>
        <v>-0.109</v>
      </c>
      <c r="N8" s="211">
        <v>1</v>
      </c>
    </row>
    <row r="9" spans="1:14" ht="12" customHeight="1">
      <c r="B9" t="s">
        <v>86</v>
      </c>
      <c r="E9" s="391"/>
      <c r="F9" s="203"/>
      <c r="G9" s="203"/>
      <c r="H9" s="203"/>
      <c r="I9" s="203"/>
      <c r="J9" s="204"/>
      <c r="K9" s="206"/>
      <c r="L9" s="206"/>
      <c r="M9" s="206"/>
      <c r="N9" s="211"/>
    </row>
    <row r="10" spans="1:14" ht="12" customHeight="1">
      <c r="B10" t="s">
        <v>87</v>
      </c>
      <c r="E10" s="391">
        <v>2</v>
      </c>
      <c r="F10" s="7">
        <v>20790</v>
      </c>
      <c r="G10" s="7">
        <v>4990</v>
      </c>
      <c r="H10" s="7">
        <v>23569</v>
      </c>
      <c r="I10" s="7">
        <v>1916</v>
      </c>
      <c r="J10" s="22"/>
      <c r="K10" s="207">
        <f>[1]!SP1000P100F2100</f>
        <v>138440</v>
      </c>
      <c r="L10" s="207">
        <f>SUM(F10:J10)</f>
        <v>51265</v>
      </c>
      <c r="M10" s="212">
        <f>IF(K10=0," ",(L10-K10)/K10)</f>
        <v>-0.63</v>
      </c>
      <c r="N10" s="211">
        <v>2</v>
      </c>
    </row>
    <row r="11" spans="1:14" ht="12" customHeight="1">
      <c r="B11" t="s">
        <v>88</v>
      </c>
      <c r="E11" s="391">
        <v>3</v>
      </c>
      <c r="F11" s="7"/>
      <c r="G11" s="7"/>
      <c r="H11" s="7">
        <v>26021</v>
      </c>
      <c r="I11" s="7">
        <v>3788</v>
      </c>
      <c r="J11" s="7">
        <v>613</v>
      </c>
      <c r="K11" s="207">
        <f>[1]!SP1000P100F2200</f>
        <v>6944</v>
      </c>
      <c r="L11" s="207">
        <f t="shared" ref="L11:L23" si="0">SUM(F11:J11)</f>
        <v>30422</v>
      </c>
      <c r="M11" s="212">
        <f t="shared" ref="M11:M23" si="1">IF(K11=0," ",(L11-K11)/K11)</f>
        <v>3.3809999999999998</v>
      </c>
      <c r="N11" s="213">
        <v>3</v>
      </c>
    </row>
    <row r="12" spans="1:14" ht="12" customHeight="1">
      <c r="B12" t="s">
        <v>89</v>
      </c>
      <c r="E12" s="391">
        <v>4</v>
      </c>
      <c r="F12" s="7"/>
      <c r="G12" s="7"/>
      <c r="H12" s="7"/>
      <c r="I12" s="7"/>
      <c r="J12" s="7"/>
      <c r="K12" s="214">
        <f>[1]!SP1000P100F2300</f>
        <v>115</v>
      </c>
      <c r="L12" s="207">
        <f t="shared" si="0"/>
        <v>0</v>
      </c>
      <c r="M12" s="212">
        <f t="shared" si="1"/>
        <v>-1</v>
      </c>
      <c r="N12" s="213">
        <v>4</v>
      </c>
    </row>
    <row r="13" spans="1:14" ht="12" customHeight="1">
      <c r="B13" t="s">
        <v>90</v>
      </c>
      <c r="E13" s="391">
        <v>5</v>
      </c>
      <c r="F13" s="7">
        <v>197000</v>
      </c>
      <c r="G13" s="7">
        <v>47280</v>
      </c>
      <c r="H13" s="7">
        <v>232986</v>
      </c>
      <c r="I13" s="7">
        <v>33078</v>
      </c>
      <c r="J13" s="7">
        <v>7928</v>
      </c>
      <c r="K13" s="214">
        <f>[1]!SP1000P100F2400</f>
        <v>489562</v>
      </c>
      <c r="L13" s="207">
        <f t="shared" si="0"/>
        <v>518272</v>
      </c>
      <c r="M13" s="212">
        <f t="shared" si="1"/>
        <v>5.8999999999999997E-2</v>
      </c>
      <c r="N13" s="213">
        <v>5</v>
      </c>
    </row>
    <row r="14" spans="1:14" ht="12" customHeight="1">
      <c r="B14" t="s">
        <v>91</v>
      </c>
      <c r="E14" s="391">
        <v>6</v>
      </c>
      <c r="F14" s="7"/>
      <c r="G14" s="7"/>
      <c r="H14" s="7">
        <v>14520</v>
      </c>
      <c r="I14" s="7"/>
      <c r="J14" s="7">
        <v>310691</v>
      </c>
      <c r="K14" s="214">
        <f>[1]!SP1000P100F2500</f>
        <v>31</v>
      </c>
      <c r="L14" s="207">
        <f>SUM(F14:J14)</f>
        <v>325211</v>
      </c>
      <c r="M14" s="212">
        <f t="shared" si="1"/>
        <v>10489.677</v>
      </c>
      <c r="N14" s="213">
        <v>6</v>
      </c>
    </row>
    <row r="15" spans="1:14" ht="12" customHeight="1">
      <c r="B15" t="s">
        <v>92</v>
      </c>
      <c r="E15" s="391">
        <v>7</v>
      </c>
      <c r="F15" s="7"/>
      <c r="G15" s="7"/>
      <c r="H15" s="7">
        <v>246279</v>
      </c>
      <c r="I15" s="7">
        <v>44388</v>
      </c>
      <c r="J15" s="7"/>
      <c r="K15" s="214">
        <f>[1]!SP1000P100F2600</f>
        <v>276210</v>
      </c>
      <c r="L15" s="207">
        <f t="shared" si="0"/>
        <v>290667</v>
      </c>
      <c r="M15" s="212">
        <f t="shared" si="1"/>
        <v>5.1999999999999998E-2</v>
      </c>
      <c r="N15" s="213">
        <v>7</v>
      </c>
    </row>
    <row r="16" spans="1:14" ht="12" customHeight="1">
      <c r="B16" t="s">
        <v>93</v>
      </c>
      <c r="E16" s="391">
        <v>8</v>
      </c>
      <c r="F16" s="7"/>
      <c r="G16" s="7"/>
      <c r="H16" s="7">
        <v>43718</v>
      </c>
      <c r="I16" s="7"/>
      <c r="J16" s="7"/>
      <c r="K16" s="214">
        <f>[1]!SP1000P100F2900</f>
        <v>40185</v>
      </c>
      <c r="L16" s="207">
        <f t="shared" si="0"/>
        <v>43718</v>
      </c>
      <c r="M16" s="212">
        <f t="shared" si="1"/>
        <v>8.7999999999999995E-2</v>
      </c>
      <c r="N16" s="213">
        <v>8</v>
      </c>
    </row>
    <row r="17" spans="1:14" ht="12" customHeight="1">
      <c r="B17" t="s">
        <v>94</v>
      </c>
      <c r="E17" s="391">
        <v>9</v>
      </c>
      <c r="F17" s="7"/>
      <c r="G17" s="7"/>
      <c r="H17" s="7">
        <v>112872</v>
      </c>
      <c r="I17" s="7">
        <v>1010</v>
      </c>
      <c r="J17" s="7"/>
      <c r="K17" s="214">
        <f>[1]!SP1000P100F3000</f>
        <v>63405</v>
      </c>
      <c r="L17" s="207">
        <f t="shared" si="0"/>
        <v>113882</v>
      </c>
      <c r="M17" s="212">
        <f t="shared" si="1"/>
        <v>0.79600000000000004</v>
      </c>
      <c r="N17" s="213">
        <v>9</v>
      </c>
    </row>
    <row r="18" spans="1:14" ht="12" customHeight="1">
      <c r="B18" t="s">
        <v>95</v>
      </c>
      <c r="E18" s="391">
        <v>10</v>
      </c>
      <c r="F18" s="7"/>
      <c r="G18" s="7"/>
      <c r="H18" s="7"/>
      <c r="I18" s="7"/>
      <c r="J18" s="7"/>
      <c r="K18" s="214">
        <f>[1]!SP1000P100F4000</f>
        <v>0</v>
      </c>
      <c r="L18" s="207">
        <f t="shared" si="0"/>
        <v>0</v>
      </c>
      <c r="M18" s="212" t="str">
        <f t="shared" si="1"/>
        <v xml:space="preserve"> </v>
      </c>
      <c r="N18" s="213">
        <v>10</v>
      </c>
    </row>
    <row r="19" spans="1:14" ht="12" customHeight="1">
      <c r="B19" t="s">
        <v>96</v>
      </c>
      <c r="E19" s="215">
        <v>11</v>
      </c>
      <c r="F19" s="16"/>
      <c r="G19" s="7"/>
      <c r="H19" s="7"/>
      <c r="I19" s="7"/>
      <c r="J19" s="7">
        <v>130000</v>
      </c>
      <c r="K19" s="214">
        <f>[1]!SP1000P100F5000</f>
        <v>293244</v>
      </c>
      <c r="L19" s="207">
        <f t="shared" si="0"/>
        <v>130000</v>
      </c>
      <c r="M19" s="212">
        <f t="shared" si="1"/>
        <v>-0.55700000000000005</v>
      </c>
      <c r="N19" s="213">
        <v>11</v>
      </c>
    </row>
    <row r="20" spans="1:14" ht="12" customHeight="1">
      <c r="A20" t="s">
        <v>97</v>
      </c>
      <c r="E20" s="215">
        <v>12</v>
      </c>
      <c r="F20" s="16"/>
      <c r="G20" s="7"/>
      <c r="H20" s="7">
        <v>4224</v>
      </c>
      <c r="I20" s="7">
        <v>4852</v>
      </c>
      <c r="J20" s="7"/>
      <c r="K20" s="207">
        <f>[1]!SP1000P610</f>
        <v>29571</v>
      </c>
      <c r="L20" s="207">
        <f t="shared" si="0"/>
        <v>9076</v>
      </c>
      <c r="M20" s="212">
        <f t="shared" si="1"/>
        <v>-0.69299999999999995</v>
      </c>
      <c r="N20" s="213">
        <v>12</v>
      </c>
    </row>
    <row r="21" spans="1:14" ht="12" customHeight="1">
      <c r="A21" t="s">
        <v>98</v>
      </c>
      <c r="E21" s="215">
        <v>13</v>
      </c>
      <c r="F21" s="16"/>
      <c r="G21" s="7"/>
      <c r="H21" s="7">
        <v>24806</v>
      </c>
      <c r="I21" s="7">
        <v>1552</v>
      </c>
      <c r="J21" s="7"/>
      <c r="K21" s="207">
        <f>[1]!SP1000P620</f>
        <v>33</v>
      </c>
      <c r="L21" s="207">
        <f>SUM(F21:J21)</f>
        <v>26358</v>
      </c>
      <c r="M21" s="212">
        <f t="shared" si="1"/>
        <v>797.72699999999998</v>
      </c>
      <c r="N21" s="213">
        <v>13</v>
      </c>
    </row>
    <row r="22" spans="1:14" ht="12" customHeight="1">
      <c r="A22" t="s">
        <v>99</v>
      </c>
      <c r="E22" s="215">
        <v>14</v>
      </c>
      <c r="F22" s="16"/>
      <c r="G22" s="7"/>
      <c r="H22" s="7"/>
      <c r="I22" s="7">
        <v>5988</v>
      </c>
      <c r="J22" s="7"/>
      <c r="K22" s="207">
        <f>[1]!SP1000P630700800900</f>
        <v>7893</v>
      </c>
      <c r="L22" s="207">
        <f t="shared" si="0"/>
        <v>5988</v>
      </c>
      <c r="M22" s="212">
        <f t="shared" si="1"/>
        <v>-0.24099999999999999</v>
      </c>
      <c r="N22" s="213">
        <v>14</v>
      </c>
    </row>
    <row r="23" spans="1:14" ht="12" customHeight="1">
      <c r="A23" s="403"/>
      <c r="B23" s="403" t="s">
        <v>100</v>
      </c>
      <c r="C23" s="403"/>
      <c r="D23" s="403"/>
      <c r="E23" s="217">
        <v>15</v>
      </c>
      <c r="F23" s="207">
        <f>SUM(F7:F22)</f>
        <v>870224</v>
      </c>
      <c r="G23" s="207">
        <f>SUM(G7:G22)</f>
        <v>250320</v>
      </c>
      <c r="H23" s="207">
        <f>SUM(H7:H22)</f>
        <v>743502</v>
      </c>
      <c r="I23" s="207">
        <f>SUM(I7:I22)</f>
        <v>158479</v>
      </c>
      <c r="J23" s="207">
        <f>SUM(J7:J22)</f>
        <v>461728</v>
      </c>
      <c r="K23" s="218">
        <f>SUM(K8:K22)</f>
        <v>2400470</v>
      </c>
      <c r="L23" s="218">
        <f t="shared" si="0"/>
        <v>2484253</v>
      </c>
      <c r="M23" s="212">
        <f t="shared" si="1"/>
        <v>3.5000000000000003E-2</v>
      </c>
      <c r="N23" s="213">
        <v>15</v>
      </c>
    </row>
    <row r="24" spans="1:14" ht="12" customHeight="1">
      <c r="A24" t="s">
        <v>101</v>
      </c>
      <c r="E24" s="391"/>
      <c r="F24" s="203"/>
      <c r="G24" s="203"/>
      <c r="H24" s="203"/>
      <c r="I24" s="203"/>
      <c r="J24" s="204"/>
      <c r="K24" s="206"/>
      <c r="L24" s="206"/>
      <c r="M24" s="206"/>
      <c r="N24" s="213"/>
    </row>
    <row r="25" spans="1:14" ht="12" customHeight="1">
      <c r="B25" t="s">
        <v>85</v>
      </c>
      <c r="E25" s="391">
        <v>16</v>
      </c>
      <c r="F25" s="7">
        <v>63000</v>
      </c>
      <c r="G25" s="7">
        <v>15120</v>
      </c>
      <c r="H25" s="7"/>
      <c r="I25" s="7">
        <v>1093</v>
      </c>
      <c r="J25" s="22"/>
      <c r="K25" s="207">
        <f>[1]!SP1000P200F1000</f>
        <v>87001</v>
      </c>
      <c r="L25" s="207">
        <f>SUM(F25:J25)</f>
        <v>79213</v>
      </c>
      <c r="M25" s="219">
        <f>IF(K25=0," ",(L25-K25)/K25)</f>
        <v>-0.09</v>
      </c>
      <c r="N25" s="213">
        <v>16</v>
      </c>
    </row>
    <row r="26" spans="1:14" ht="12" customHeight="1">
      <c r="B26" t="s">
        <v>86</v>
      </c>
      <c r="E26" s="391"/>
      <c r="F26" s="203"/>
      <c r="G26" s="203"/>
      <c r="H26" s="203"/>
      <c r="I26" s="203"/>
      <c r="J26" s="204"/>
      <c r="K26" s="206"/>
      <c r="L26" s="206"/>
      <c r="M26" s="206"/>
      <c r="N26" s="213"/>
    </row>
    <row r="27" spans="1:14" ht="12" customHeight="1">
      <c r="B27" t="s">
        <v>87</v>
      </c>
      <c r="E27" s="215">
        <v>17</v>
      </c>
      <c r="F27" s="7"/>
      <c r="G27" s="7"/>
      <c r="H27" s="7">
        <v>78928</v>
      </c>
      <c r="I27" s="7"/>
      <c r="J27" s="22"/>
      <c r="K27" s="207">
        <f>[1]!SP1000P200F2100</f>
        <v>89161</v>
      </c>
      <c r="L27" s="207">
        <f>SUM(F27:J27)</f>
        <v>78928</v>
      </c>
      <c r="M27" s="219">
        <f>IF(K27=0," ",(L27-K27)/K27)</f>
        <v>-0.115</v>
      </c>
      <c r="N27" s="213">
        <v>17</v>
      </c>
    </row>
    <row r="28" spans="1:14" ht="12" customHeight="1">
      <c r="B28" t="s">
        <v>88</v>
      </c>
      <c r="E28" s="215">
        <v>18</v>
      </c>
      <c r="F28" s="7"/>
      <c r="G28" s="7"/>
      <c r="H28" s="7"/>
      <c r="I28" s="7"/>
      <c r="J28" s="7"/>
      <c r="K28" s="207">
        <f>[1]!SP1000P200F2200</f>
        <v>0</v>
      </c>
      <c r="L28" s="207">
        <f t="shared" ref="L28:L42" si="2">SUM(F28:J28)</f>
        <v>0</v>
      </c>
      <c r="M28" s="220" t="str">
        <f t="shared" ref="M28:M48" si="3">IF(K28=0," ",(L28-K28)/K28)</f>
        <v xml:space="preserve"> </v>
      </c>
      <c r="N28" s="213">
        <v>18</v>
      </c>
    </row>
    <row r="29" spans="1:14" ht="12" customHeight="1">
      <c r="B29" t="s">
        <v>89</v>
      </c>
      <c r="E29" s="215">
        <v>19</v>
      </c>
      <c r="F29" s="7"/>
      <c r="G29" s="7"/>
      <c r="H29" s="7"/>
      <c r="I29" s="7"/>
      <c r="J29" s="7"/>
      <c r="K29" s="214">
        <f>[1]!SP1000P200F2300</f>
        <v>0</v>
      </c>
      <c r="L29" s="207">
        <f t="shared" si="2"/>
        <v>0</v>
      </c>
      <c r="M29" s="212" t="str">
        <f t="shared" si="3"/>
        <v xml:space="preserve"> </v>
      </c>
      <c r="N29" s="213">
        <v>19</v>
      </c>
    </row>
    <row r="30" spans="1:14" ht="12" customHeight="1">
      <c r="B30" t="s">
        <v>90</v>
      </c>
      <c r="E30" s="215">
        <v>20</v>
      </c>
      <c r="F30" s="7"/>
      <c r="G30" s="7"/>
      <c r="H30" s="7"/>
      <c r="I30" s="7"/>
      <c r="J30" s="7"/>
      <c r="K30" s="214">
        <f>[1]!SP1000P200F2400</f>
        <v>0</v>
      </c>
      <c r="L30" s="207">
        <f t="shared" si="2"/>
        <v>0</v>
      </c>
      <c r="M30" s="212" t="str">
        <f t="shared" si="3"/>
        <v xml:space="preserve"> </v>
      </c>
      <c r="N30" s="213">
        <v>20</v>
      </c>
    </row>
    <row r="31" spans="1:14" ht="12" customHeight="1">
      <c r="B31" t="s">
        <v>91</v>
      </c>
      <c r="E31" s="215">
        <v>21</v>
      </c>
      <c r="F31" s="7"/>
      <c r="G31" s="7"/>
      <c r="H31" s="7"/>
      <c r="I31" s="7"/>
      <c r="J31" s="7"/>
      <c r="K31" s="214">
        <f>[1]!SP1000P200F2500</f>
        <v>0</v>
      </c>
      <c r="L31" s="207">
        <f>SUM(F31:J31)</f>
        <v>0</v>
      </c>
      <c r="M31" s="212" t="str">
        <f t="shared" si="3"/>
        <v xml:space="preserve"> </v>
      </c>
      <c r="N31" s="213">
        <v>21</v>
      </c>
    </row>
    <row r="32" spans="1:14" ht="12" customHeight="1">
      <c r="B32" t="s">
        <v>92</v>
      </c>
      <c r="E32" s="215">
        <v>22</v>
      </c>
      <c r="F32" s="7"/>
      <c r="G32" s="7"/>
      <c r="H32" s="7"/>
      <c r="I32" s="7"/>
      <c r="J32" s="7"/>
      <c r="K32" s="214">
        <f>[1]!SP1000P200F2600</f>
        <v>0</v>
      </c>
      <c r="L32" s="207">
        <f t="shared" si="2"/>
        <v>0</v>
      </c>
      <c r="M32" s="212" t="str">
        <f t="shared" si="3"/>
        <v xml:space="preserve"> </v>
      </c>
      <c r="N32" s="213">
        <v>22</v>
      </c>
    </row>
    <row r="33" spans="1:18" ht="12" customHeight="1">
      <c r="B33" t="s">
        <v>93</v>
      </c>
      <c r="E33" s="215">
        <v>23</v>
      </c>
      <c r="F33" s="7"/>
      <c r="G33" s="7"/>
      <c r="H33" s="7"/>
      <c r="I33" s="7"/>
      <c r="J33" s="7"/>
      <c r="K33" s="214">
        <f>[1]!SP1000P200F2900</f>
        <v>0</v>
      </c>
      <c r="L33" s="207">
        <f t="shared" si="2"/>
        <v>0</v>
      </c>
      <c r="M33" s="212" t="str">
        <f t="shared" si="3"/>
        <v xml:space="preserve"> </v>
      </c>
      <c r="N33" s="213">
        <v>23</v>
      </c>
    </row>
    <row r="34" spans="1:18" ht="12" customHeight="1">
      <c r="B34" t="s">
        <v>94</v>
      </c>
      <c r="E34" s="215">
        <v>24</v>
      </c>
      <c r="F34" s="7"/>
      <c r="G34" s="7"/>
      <c r="H34" s="7"/>
      <c r="I34" s="7"/>
      <c r="J34" s="7"/>
      <c r="K34" s="214">
        <f>[1]!SP1000P200F3000</f>
        <v>0</v>
      </c>
      <c r="L34" s="207">
        <f t="shared" si="2"/>
        <v>0</v>
      </c>
      <c r="M34" s="212" t="str">
        <f t="shared" si="3"/>
        <v xml:space="preserve"> </v>
      </c>
      <c r="N34" s="213">
        <v>24</v>
      </c>
      <c r="R34" s="194"/>
    </row>
    <row r="35" spans="1:18" ht="12" customHeight="1">
      <c r="B35" t="s">
        <v>95</v>
      </c>
      <c r="E35" s="215">
        <v>25</v>
      </c>
      <c r="F35" s="7"/>
      <c r="G35" s="7"/>
      <c r="H35" s="7"/>
      <c r="I35" s="7"/>
      <c r="J35" s="7"/>
      <c r="K35" s="214">
        <f>[1]!SP1000P200F4000</f>
        <v>0</v>
      </c>
      <c r="L35" s="207">
        <f t="shared" si="2"/>
        <v>0</v>
      </c>
      <c r="M35" s="212" t="str">
        <f t="shared" si="3"/>
        <v xml:space="preserve"> </v>
      </c>
      <c r="N35" s="213">
        <v>25</v>
      </c>
    </row>
    <row r="36" spans="1:18" ht="12" customHeight="1">
      <c r="B36" t="s">
        <v>96</v>
      </c>
      <c r="E36" s="391">
        <v>26</v>
      </c>
      <c r="F36" s="7"/>
      <c r="G36" s="7"/>
      <c r="H36" s="7"/>
      <c r="I36" s="7"/>
      <c r="J36" s="7"/>
      <c r="K36" s="214">
        <f>[1]!SP1000P200F5000</f>
        <v>0</v>
      </c>
      <c r="L36" s="207">
        <f t="shared" si="2"/>
        <v>0</v>
      </c>
      <c r="M36" s="212" t="str">
        <f t="shared" si="3"/>
        <v xml:space="preserve"> </v>
      </c>
      <c r="N36" s="213">
        <v>26</v>
      </c>
    </row>
    <row r="37" spans="1:18" ht="12" customHeight="1">
      <c r="A37" s="403"/>
      <c r="B37" s="403" t="s">
        <v>102</v>
      </c>
      <c r="C37" s="403"/>
      <c r="D37" s="403"/>
      <c r="E37" s="217">
        <v>27</v>
      </c>
      <c r="F37" s="214">
        <f>SUM(F24:F36)</f>
        <v>63000</v>
      </c>
      <c r="G37" s="214">
        <f>SUM(G24:G36)</f>
        <v>15120</v>
      </c>
      <c r="H37" s="214">
        <f>SUM(H24:H36)</f>
        <v>78928</v>
      </c>
      <c r="I37" s="214">
        <f>SUM(I24:I36)</f>
        <v>1093</v>
      </c>
      <c r="J37" s="214">
        <f>SUM(J24:J36)</f>
        <v>0</v>
      </c>
      <c r="K37" s="214">
        <f>SUM(K25:K36)</f>
        <v>176162</v>
      </c>
      <c r="L37" s="214">
        <f t="shared" si="2"/>
        <v>158141</v>
      </c>
      <c r="M37" s="220">
        <f t="shared" si="3"/>
        <v>-0.10199999999999999</v>
      </c>
      <c r="N37" s="213">
        <v>27</v>
      </c>
    </row>
    <row r="38" spans="1:18" ht="0.75" customHeight="1">
      <c r="A38" t="s">
        <v>103</v>
      </c>
      <c r="E38" s="391">
        <v>28</v>
      </c>
      <c r="F38" s="221"/>
      <c r="G38" s="221"/>
      <c r="H38" s="221"/>
      <c r="I38" s="221"/>
      <c r="J38" s="221"/>
      <c r="K38" s="221"/>
      <c r="L38" s="221"/>
      <c r="M38" s="222"/>
      <c r="N38" s="211">
        <v>28</v>
      </c>
    </row>
    <row r="39" spans="1:18" ht="12" customHeight="1">
      <c r="A39" s="403" t="s">
        <v>104</v>
      </c>
      <c r="B39" s="403"/>
      <c r="C39" s="403"/>
      <c r="D39" s="403"/>
      <c r="E39" s="217">
        <v>28</v>
      </c>
      <c r="F39" s="7"/>
      <c r="G39" s="7"/>
      <c r="H39" s="7">
        <v>35041</v>
      </c>
      <c r="I39" s="7"/>
      <c r="J39" s="7"/>
      <c r="K39" s="207">
        <f>[1]!SP1000P400</f>
        <v>6139</v>
      </c>
      <c r="L39" s="207">
        <f t="shared" si="2"/>
        <v>35041</v>
      </c>
      <c r="M39" s="212">
        <f t="shared" si="3"/>
        <v>4.7080000000000002</v>
      </c>
      <c r="N39" s="213">
        <v>28</v>
      </c>
    </row>
    <row r="40" spans="1:18" ht="12" customHeight="1">
      <c r="A40" s="403" t="s">
        <v>105</v>
      </c>
      <c r="B40" s="403"/>
      <c r="C40" s="403"/>
      <c r="D40" s="403"/>
      <c r="E40" s="223">
        <v>29</v>
      </c>
      <c r="F40" s="7"/>
      <c r="G40" s="7"/>
      <c r="H40" s="7"/>
      <c r="I40" s="7"/>
      <c r="J40" s="7"/>
      <c r="K40" s="214">
        <f>[1]!SP1000P530</f>
        <v>0</v>
      </c>
      <c r="L40" s="207">
        <f>SUM(F40:J40)</f>
        <v>0</v>
      </c>
      <c r="M40" s="212" t="str">
        <f t="shared" si="3"/>
        <v xml:space="preserve"> </v>
      </c>
      <c r="N40" s="213">
        <v>29</v>
      </c>
    </row>
    <row r="41" spans="1:18" ht="12" customHeight="1">
      <c r="A41" s="403" t="s">
        <v>106</v>
      </c>
      <c r="B41" s="403"/>
      <c r="C41" s="403"/>
      <c r="D41" s="403"/>
      <c r="E41" s="223">
        <v>30</v>
      </c>
      <c r="F41" s="7"/>
      <c r="G41" s="7"/>
      <c r="H41" s="7"/>
      <c r="I41" s="7"/>
      <c r="J41" s="7"/>
      <c r="K41" s="214">
        <f>[1]!SP1000P540</f>
        <v>0</v>
      </c>
      <c r="L41" s="207">
        <f t="shared" si="2"/>
        <v>0</v>
      </c>
      <c r="M41" s="212" t="str">
        <f t="shared" si="3"/>
        <v xml:space="preserve"> </v>
      </c>
      <c r="N41" s="213">
        <v>30</v>
      </c>
    </row>
    <row r="42" spans="1:18" ht="12" customHeight="1">
      <c r="A42" s="224" t="s">
        <v>107</v>
      </c>
      <c r="B42" s="225"/>
      <c r="C42" s="225"/>
      <c r="D42" s="225"/>
      <c r="E42" s="223">
        <v>31</v>
      </c>
      <c r="F42" s="7">
        <f>Calculations!N75</f>
        <v>17636</v>
      </c>
      <c r="G42" s="7"/>
      <c r="H42" s="7"/>
      <c r="I42" s="7"/>
      <c r="J42" s="7"/>
      <c r="K42" s="214">
        <f>[1]!SP1000P550</f>
        <v>19250</v>
      </c>
      <c r="L42" s="207">
        <f t="shared" si="2"/>
        <v>17636</v>
      </c>
      <c r="M42" s="212">
        <f t="shared" si="3"/>
        <v>-8.4000000000000005E-2</v>
      </c>
      <c r="N42" s="213">
        <v>31</v>
      </c>
    </row>
    <row r="43" spans="1:18" ht="12" customHeight="1">
      <c r="A43" s="403"/>
      <c r="B43" s="403" t="s">
        <v>108</v>
      </c>
      <c r="C43" s="403"/>
      <c r="D43" s="403"/>
      <c r="E43" s="223">
        <v>32</v>
      </c>
      <c r="F43" s="207">
        <f t="shared" ref="F43:K43" si="4">SUM(F37:F42)+F23</f>
        <v>950860</v>
      </c>
      <c r="G43" s="207">
        <f t="shared" si="4"/>
        <v>265440</v>
      </c>
      <c r="H43" s="207">
        <f t="shared" si="4"/>
        <v>857471</v>
      </c>
      <c r="I43" s="207">
        <f t="shared" si="4"/>
        <v>159572</v>
      </c>
      <c r="J43" s="207">
        <f t="shared" si="4"/>
        <v>461728</v>
      </c>
      <c r="K43" s="207">
        <f t="shared" si="4"/>
        <v>2602021</v>
      </c>
      <c r="L43" s="207">
        <f>SUM(F43:J43)</f>
        <v>2695071</v>
      </c>
      <c r="M43" s="212">
        <f t="shared" si="3"/>
        <v>3.5999999999999997E-2</v>
      </c>
      <c r="N43" s="213">
        <v>32</v>
      </c>
    </row>
    <row r="44" spans="1:18" ht="12" customHeight="1">
      <c r="A44" s="403" t="s">
        <v>109</v>
      </c>
      <c r="B44" s="403"/>
      <c r="C44" s="403"/>
      <c r="D44" s="403"/>
      <c r="E44" s="223">
        <v>33</v>
      </c>
      <c r="F44" s="207">
        <f>TotalCSP6100</f>
        <v>211941</v>
      </c>
      <c r="G44" s="207">
        <f>TotalCSP6200</f>
        <v>18430</v>
      </c>
      <c r="H44" s="207">
        <f>TotalCSP630064006500</f>
        <v>0</v>
      </c>
      <c r="I44" s="207">
        <f>TotalCSP6600</f>
        <v>0</v>
      </c>
      <c r="J44" s="226"/>
      <c r="K44" s="207">
        <f>[1]!SP1000ClassSiteProj</f>
        <v>262330</v>
      </c>
      <c r="L44" s="207">
        <f>SUM(F44:J44)</f>
        <v>230371</v>
      </c>
      <c r="M44" s="212">
        <f t="shared" si="3"/>
        <v>-0.122</v>
      </c>
      <c r="N44" s="213">
        <v>33</v>
      </c>
    </row>
    <row r="45" spans="1:18" ht="12" customHeight="1">
      <c r="A45" s="403" t="s">
        <v>110</v>
      </c>
      <c r="B45" s="403"/>
      <c r="C45" s="403"/>
      <c r="D45" s="403"/>
      <c r="E45" s="223">
        <v>34</v>
      </c>
      <c r="F45" s="226"/>
      <c r="G45" s="226"/>
      <c r="H45" s="226"/>
      <c r="I45" s="226"/>
      <c r="J45" s="226"/>
      <c r="K45" s="207">
        <f>[1]!SP1000InstrImpProj</f>
        <v>11869</v>
      </c>
      <c r="L45" s="207">
        <f>TotalInstructionalImprovement</f>
        <v>19989</v>
      </c>
      <c r="M45" s="212">
        <f t="shared" si="3"/>
        <v>0.68400000000000005</v>
      </c>
      <c r="N45" s="213">
        <v>34</v>
      </c>
    </row>
    <row r="46" spans="1:18" ht="12" customHeight="1">
      <c r="A46" s="403" t="s">
        <v>111</v>
      </c>
      <c r="B46" s="403"/>
      <c r="C46" s="403"/>
      <c r="D46" s="403"/>
      <c r="E46" s="223">
        <v>35</v>
      </c>
      <c r="F46" s="207">
        <f>TotalSEIP6100</f>
        <v>0</v>
      </c>
      <c r="G46" s="207">
        <f>TotalSEIP6200</f>
        <v>0</v>
      </c>
      <c r="H46" s="207">
        <f>TotalSEIP630064006500</f>
        <v>0</v>
      </c>
      <c r="I46" s="207">
        <f>TotalSEIP6600</f>
        <v>0</v>
      </c>
      <c r="J46" s="207">
        <f>TotalSEIP6800</f>
        <v>0</v>
      </c>
      <c r="K46" s="207">
        <f>[1]!SP1000StruEngImmProj</f>
        <v>0</v>
      </c>
      <c r="L46" s="207">
        <f>TotalSEIP</f>
        <v>0</v>
      </c>
      <c r="M46" s="212" t="str">
        <f t="shared" si="3"/>
        <v xml:space="preserve"> </v>
      </c>
      <c r="N46" s="213">
        <v>35</v>
      </c>
    </row>
    <row r="47" spans="1:18" ht="12" customHeight="1">
      <c r="A47" s="403" t="s">
        <v>112</v>
      </c>
      <c r="B47" s="403"/>
      <c r="C47" s="403"/>
      <c r="D47" s="403"/>
      <c r="E47" s="223">
        <v>36</v>
      </c>
      <c r="F47" s="207">
        <f>TotalCIP6100</f>
        <v>0</v>
      </c>
      <c r="G47" s="207">
        <f>TotalCIP6200</f>
        <v>0</v>
      </c>
      <c r="H47" s="207">
        <f>TotalCIP630064006500</f>
        <v>0</v>
      </c>
      <c r="I47" s="207">
        <f>TotalCIP6600</f>
        <v>0</v>
      </c>
      <c r="J47" s="207">
        <f>TotalCIP6800</f>
        <v>0</v>
      </c>
      <c r="K47" s="214">
        <f>[1]!SP1000CompInstrProj</f>
        <v>0</v>
      </c>
      <c r="L47" s="207">
        <f>TotalCIP</f>
        <v>0</v>
      </c>
      <c r="M47" s="212" t="str">
        <f t="shared" si="3"/>
        <v xml:space="preserve"> </v>
      </c>
      <c r="N47" s="213">
        <v>36</v>
      </c>
    </row>
    <row r="48" spans="1:18" ht="12" customHeight="1">
      <c r="A48" s="224" t="s">
        <v>113</v>
      </c>
      <c r="B48" s="225"/>
      <c r="C48" s="225"/>
      <c r="D48" s="225"/>
      <c r="E48" s="223">
        <v>37</v>
      </c>
      <c r="F48" s="226"/>
      <c r="G48" s="226"/>
      <c r="H48" s="226"/>
      <c r="I48" s="226"/>
      <c r="J48" s="226"/>
      <c r="K48" s="214">
        <f>[1]!SP1000FedStProj</f>
        <v>141451</v>
      </c>
      <c r="L48" s="207">
        <f>FederalandStateProjectsTotal</f>
        <v>101776</v>
      </c>
      <c r="M48" s="212">
        <f t="shared" si="3"/>
        <v>-0.28000000000000003</v>
      </c>
      <c r="N48" s="213">
        <v>37</v>
      </c>
    </row>
    <row r="49" spans="1:14" ht="12" customHeight="1">
      <c r="A49" s="227"/>
      <c r="B49" s="403" t="s">
        <v>114</v>
      </c>
      <c r="C49" s="403"/>
      <c r="D49" s="403"/>
      <c r="E49" s="223">
        <v>38</v>
      </c>
      <c r="F49" s="228">
        <f>SUM(F43+F44+F46+F47)</f>
        <v>1162801</v>
      </c>
      <c r="G49" s="228">
        <f>SUM(G43+G44+G46+G47)</f>
        <v>283870</v>
      </c>
      <c r="H49" s="228">
        <f>SUM(H43+H44+H46+H47)</f>
        <v>857471</v>
      </c>
      <c r="I49" s="228">
        <f>SUM(I43+I44+I46+I47)</f>
        <v>159572</v>
      </c>
      <c r="J49" s="228">
        <f>SUM(J43+J46+J47)</f>
        <v>461728</v>
      </c>
      <c r="K49" s="229">
        <f>SUM(K43:K48)</f>
        <v>3017671</v>
      </c>
      <c r="L49" s="229">
        <f>SUM(L43:L48)</f>
        <v>3047207</v>
      </c>
      <c r="M49" s="212">
        <f>IF(K49=0," ",(L49-K49)/K49)</f>
        <v>0.01</v>
      </c>
      <c r="N49" s="213">
        <v>38</v>
      </c>
    </row>
  </sheetData>
  <sheetProtection sheet="1" objects="1" scenarios="1"/>
  <mergeCells count="3">
    <mergeCell ref="D1:F1"/>
    <mergeCell ref="I1:J1"/>
    <mergeCell ref="M1:N1"/>
  </mergeCells>
  <hyperlinks>
    <hyperlink ref="G4" r:id="rId1" display="https://azauditor.sharepoint.com/sites/ASDonline/School%20District%20Budget/FY%202024%20Budget%20Forms/Prohibited%20formula%20characters/Files%20from%20ADE%203-27-23/EmpBenefits"/>
    <hyperlink ref="G5" r:id="rId2" display="Benefits"/>
    <hyperlink ref="A42:D42" location="Pg1Program550" display="550 K-3 Reading"/>
    <hyperlink ref="G4:G5" location="Pg1EmployeeBenefits" display="Employee"/>
    <hyperlink ref="A48:D48" location="Pg1Line37" display="Federal and State Projects (from page 2, line 30)"/>
    <hyperlink ref="D3" location="Pg1General" display="Instructions"/>
  </hyperlinks>
  <printOptions horizontalCentered="1" verticalCentered="1"/>
  <pageMargins left="0.75" right="0.5" top="0.25" bottom="0.25" header="0" footer="0"/>
  <pageSetup paperSize="5" scale="79" orientation="landscape" r:id="rId3"/>
  <headerFooter>
    <oddFooter>&amp;L&amp;"Arial,Bold"Rev. 5/25 Arizona Department of Education and Auditor General&amp;R&amp;"Arial,Bold"Page  1 of 4</oddFooter>
  </headerFooter>
  <ignoredErrors>
    <ignoredError sqref="L41 F23:J23 L28:L36 L11:L20 L39 L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0"/>
  <sheetViews>
    <sheetView showGridLines="0" topLeftCell="D19" workbookViewId="0">
      <selection activeCell="Q32" sqref="Q32"/>
    </sheetView>
  </sheetViews>
  <sheetFormatPr defaultColWidth="9.42578125" defaultRowHeight="12.75" customHeight="1"/>
  <cols>
    <col min="1" max="1" width="3.5703125" customWidth="1"/>
    <col min="2" max="2" width="14.5703125" customWidth="1"/>
    <col min="3" max="3" width="35" customWidth="1"/>
    <col min="4" max="5" width="12.42578125" customWidth="1"/>
    <col min="6" max="6" width="3.5703125" customWidth="1"/>
    <col min="7" max="7" width="5.42578125" customWidth="1"/>
    <col min="8" max="8" width="27.42578125" customWidth="1"/>
    <col min="9" max="9" width="6.5703125" customWidth="1"/>
    <col min="10" max="10" width="6.42578125" customWidth="1"/>
    <col min="11" max="11" width="5.42578125" customWidth="1"/>
    <col min="12" max="12" width="7" customWidth="1"/>
    <col min="13" max="14" width="12.42578125" customWidth="1"/>
    <col min="15" max="15" width="3.5703125" customWidth="1"/>
    <col min="16" max="16" width="7.5703125" customWidth="1"/>
  </cols>
  <sheetData>
    <row r="1" spans="1:19" ht="13.5" customHeight="1">
      <c r="A1" t="s">
        <v>0</v>
      </c>
      <c r="C1" s="501" t="str">
        <f>CharterName</f>
        <v>Freedom Academy Inc</v>
      </c>
      <c r="D1" s="501"/>
      <c r="E1" s="501"/>
      <c r="F1" s="501"/>
      <c r="H1" s="407" t="s">
        <v>1</v>
      </c>
      <c r="I1" s="502" t="str">
        <f>Cover!M1</f>
        <v>Maricopa</v>
      </c>
      <c r="J1" s="504"/>
      <c r="K1" s="504"/>
      <c r="M1" s="407" t="s">
        <v>2</v>
      </c>
      <c r="N1" s="397" t="str">
        <f>CTD</f>
        <v>078528000</v>
      </c>
      <c r="P1" s="511" t="s">
        <v>543</v>
      </c>
      <c r="Q1" s="511"/>
    </row>
    <row r="2" spans="1:19" ht="7.5" customHeight="1">
      <c r="A2" s="230"/>
      <c r="B2" s="129"/>
      <c r="C2" s="129"/>
      <c r="D2" s="129"/>
      <c r="E2" s="129"/>
      <c r="H2" s="231"/>
      <c r="I2" s="232"/>
      <c r="J2" s="232"/>
      <c r="K2" s="232"/>
      <c r="L2" s="232"/>
      <c r="M2" s="232"/>
      <c r="N2" s="232"/>
    </row>
    <row r="3" spans="1:19" ht="12" customHeight="1">
      <c r="A3" s="507" t="s">
        <v>115</v>
      </c>
      <c r="B3" s="508"/>
      <c r="C3" s="508"/>
      <c r="D3" s="233"/>
      <c r="E3" s="233"/>
      <c r="H3" s="233" t="s">
        <v>116</v>
      </c>
      <c r="I3" s="234"/>
      <c r="J3" s="234"/>
      <c r="K3" s="234"/>
      <c r="L3" s="234"/>
      <c r="M3" s="234"/>
      <c r="N3" s="234"/>
      <c r="Q3" s="503"/>
      <c r="R3" s="503"/>
    </row>
    <row r="4" spans="1:19" ht="40.5" customHeight="1">
      <c r="A4" s="94" t="s">
        <v>117</v>
      </c>
      <c r="D4" s="444" t="s">
        <v>494</v>
      </c>
      <c r="E4" s="444" t="s">
        <v>495</v>
      </c>
      <c r="H4" s="129"/>
      <c r="I4" s="129"/>
      <c r="J4" s="129"/>
      <c r="K4" s="129"/>
      <c r="M4" s="444" t="s">
        <v>498</v>
      </c>
      <c r="N4" s="444" t="s">
        <v>499</v>
      </c>
      <c r="Q4" s="503"/>
      <c r="R4" s="503"/>
    </row>
    <row r="5" spans="1:19" ht="12" customHeight="1">
      <c r="A5" s="235">
        <v>1</v>
      </c>
      <c r="B5" s="118" t="s">
        <v>118</v>
      </c>
      <c r="C5" s="118"/>
      <c r="D5" s="236">
        <f>[1]!FP11001130TitleI</f>
        <v>68026</v>
      </c>
      <c r="E5" s="19">
        <v>56243</v>
      </c>
      <c r="F5" s="211">
        <v>1</v>
      </c>
      <c r="G5" s="237">
        <v>1</v>
      </c>
      <c r="H5" s="238" t="s">
        <v>119</v>
      </c>
      <c r="I5" s="238"/>
      <c r="J5" s="239"/>
      <c r="K5" s="118"/>
      <c r="M5" s="240">
        <f>'[1]Page 2'!$N$5</f>
        <v>176162</v>
      </c>
      <c r="N5" s="20">
        <v>158141</v>
      </c>
      <c r="O5" s="211">
        <v>1</v>
      </c>
      <c r="R5" s="221"/>
      <c r="S5" s="221"/>
    </row>
    <row r="6" spans="1:19" ht="12" customHeight="1">
      <c r="A6" s="235">
        <v>2</v>
      </c>
      <c r="B6" s="118" t="s">
        <v>120</v>
      </c>
      <c r="C6" s="118"/>
      <c r="D6" s="236">
        <f>[1]!FP11401150TitleII</f>
        <v>18500</v>
      </c>
      <c r="E6" s="19">
        <v>6080</v>
      </c>
      <c r="F6" s="211">
        <v>2</v>
      </c>
      <c r="G6" s="237">
        <v>2</v>
      </c>
      <c r="H6" s="118" t="s">
        <v>121</v>
      </c>
      <c r="I6" s="118"/>
      <c r="J6" s="118"/>
      <c r="K6" s="118"/>
      <c r="M6" s="240">
        <f>[1]!P200GiftedEducation</f>
        <v>0</v>
      </c>
      <c r="N6" s="20"/>
      <c r="O6" s="211">
        <v>2</v>
      </c>
      <c r="R6" s="221"/>
      <c r="S6" s="221"/>
    </row>
    <row r="7" spans="1:19" ht="12" customHeight="1">
      <c r="A7" s="235">
        <v>3</v>
      </c>
      <c r="B7" s="118" t="s">
        <v>122</v>
      </c>
      <c r="C7" s="118"/>
      <c r="D7" s="236">
        <f>[1]!FP1160TitleIV</f>
        <v>10000</v>
      </c>
      <c r="E7" s="19">
        <v>10000</v>
      </c>
      <c r="F7" s="211">
        <v>3</v>
      </c>
      <c r="G7" s="237">
        <v>3</v>
      </c>
      <c r="H7" s="118" t="s">
        <v>123</v>
      </c>
      <c r="I7" s="118"/>
      <c r="J7" s="118"/>
      <c r="K7" s="118"/>
      <c r="M7" s="236">
        <f>[1]!P200ELLIncrementalCosts</f>
        <v>0</v>
      </c>
      <c r="N7" s="19"/>
      <c r="O7" s="211">
        <v>3</v>
      </c>
      <c r="R7" s="221"/>
      <c r="S7" s="221"/>
    </row>
    <row r="8" spans="1:19" ht="12" customHeight="1">
      <c r="A8" s="235">
        <v>4</v>
      </c>
      <c r="B8" s="118" t="s">
        <v>124</v>
      </c>
      <c r="C8" s="118"/>
      <c r="D8" s="236">
        <f>[1]!FP11701180TitleV</f>
        <v>0</v>
      </c>
      <c r="E8" s="19"/>
      <c r="F8" s="211">
        <v>4</v>
      </c>
      <c r="G8" s="237">
        <v>4</v>
      </c>
      <c r="H8" s="118" t="s">
        <v>125</v>
      </c>
      <c r="I8" s="118"/>
      <c r="J8" s="118"/>
      <c r="K8" s="118"/>
      <c r="M8" s="236">
        <f>[1]!P200ELLCompensatoryInstruction</f>
        <v>0</v>
      </c>
      <c r="N8" s="19"/>
      <c r="O8" s="211">
        <v>4</v>
      </c>
      <c r="R8" s="221"/>
      <c r="S8" s="221"/>
    </row>
    <row r="9" spans="1:19" ht="12" customHeight="1">
      <c r="A9" s="235">
        <v>5</v>
      </c>
      <c r="B9" s="118" t="s">
        <v>126</v>
      </c>
      <c r="C9" s="118"/>
      <c r="D9" s="236">
        <f>[1]!FP1190TitleIII</f>
        <v>0</v>
      </c>
      <c r="E9" s="19"/>
      <c r="F9" s="211">
        <v>5</v>
      </c>
      <c r="G9" s="237">
        <v>5</v>
      </c>
      <c r="H9" s="118" t="s">
        <v>127</v>
      </c>
      <c r="I9" s="118"/>
      <c r="J9" s="118"/>
      <c r="K9" s="118"/>
      <c r="M9" s="236">
        <f>[1]!P200RemedialEducation</f>
        <v>0</v>
      </c>
      <c r="N9" s="19"/>
      <c r="O9" s="211">
        <v>5</v>
      </c>
      <c r="R9" s="221"/>
      <c r="S9" s="221"/>
    </row>
    <row r="10" spans="1:19" ht="12" customHeight="1">
      <c r="A10" s="235">
        <v>6</v>
      </c>
      <c r="B10" s="118" t="s">
        <v>128</v>
      </c>
      <c r="C10" s="118"/>
      <c r="D10" s="236">
        <f>[1]!FP1200TitleVII</f>
        <v>0</v>
      </c>
      <c r="E10" s="19"/>
      <c r="F10" s="211">
        <v>6</v>
      </c>
      <c r="G10" s="237">
        <v>6</v>
      </c>
      <c r="H10" s="118" t="s">
        <v>129</v>
      </c>
      <c r="I10" s="118"/>
      <c r="J10" s="118"/>
      <c r="K10" s="118"/>
      <c r="M10" s="236">
        <f>[1]!P200VocationalandTechnologicalEd</f>
        <v>0</v>
      </c>
      <c r="N10" s="19"/>
      <c r="O10" s="211">
        <v>6</v>
      </c>
      <c r="R10" s="221"/>
      <c r="S10" s="221"/>
    </row>
    <row r="11" spans="1:19" ht="12" customHeight="1">
      <c r="A11" s="235">
        <v>7</v>
      </c>
      <c r="B11" s="118" t="s">
        <v>130</v>
      </c>
      <c r="C11" s="118"/>
      <c r="D11" s="236">
        <f>[1]!FP1210TitleVI</f>
        <v>0</v>
      </c>
      <c r="E11" s="19"/>
      <c r="F11" s="211">
        <v>7</v>
      </c>
      <c r="G11" s="237">
        <v>7</v>
      </c>
      <c r="H11" s="118" t="s">
        <v>131</v>
      </c>
      <c r="I11" s="118"/>
      <c r="J11" s="118"/>
      <c r="K11" s="118"/>
      <c r="M11" s="236">
        <f>[1]!P200CareerEducation</f>
        <v>0</v>
      </c>
      <c r="N11" s="19"/>
      <c r="O11" s="211">
        <v>7</v>
      </c>
      <c r="R11" s="221"/>
      <c r="S11" s="221"/>
    </row>
    <row r="12" spans="1:19" ht="12" customHeight="1">
      <c r="A12" s="235">
        <v>8</v>
      </c>
      <c r="B12" s="118" t="s">
        <v>132</v>
      </c>
      <c r="C12" s="118"/>
      <c r="D12" s="236">
        <f>[1]!FP1220IDEA</f>
        <v>43811</v>
      </c>
      <c r="E12" s="19">
        <v>29003</v>
      </c>
      <c r="F12" s="211">
        <v>8</v>
      </c>
      <c r="G12" s="237">
        <v>8</v>
      </c>
      <c r="H12" t="s">
        <v>133</v>
      </c>
      <c r="K12" s="118"/>
      <c r="M12" s="240">
        <f>SUM(M5:M11)</f>
        <v>176162</v>
      </c>
      <c r="N12" s="240">
        <f>SUM(N5:N11)</f>
        <v>158141</v>
      </c>
      <c r="O12" s="211">
        <v>8</v>
      </c>
      <c r="P12" s="137" t="str">
        <f>IF(SUM(N5:N11)=SUM('Page 1'!L37),"","Invalid. The amount must equal the total budgeted amount reported on page 1, line 27.")</f>
        <v/>
      </c>
      <c r="R12" s="221"/>
      <c r="S12" s="221"/>
    </row>
    <row r="13" spans="1:19" ht="12" customHeight="1">
      <c r="A13" s="235">
        <v>9</v>
      </c>
      <c r="B13" s="118" t="s">
        <v>134</v>
      </c>
      <c r="C13" s="118"/>
      <c r="D13" s="236">
        <f>[1]!FP1230Johnson</f>
        <v>0</v>
      </c>
      <c r="E13" s="19"/>
      <c r="F13" s="211">
        <v>9</v>
      </c>
      <c r="N13" s="221"/>
      <c r="O13" s="211"/>
      <c r="R13" s="221"/>
      <c r="S13" s="221"/>
    </row>
    <row r="14" spans="1:19" ht="12.75" customHeight="1">
      <c r="A14" s="235">
        <v>10</v>
      </c>
      <c r="B14" s="118" t="s">
        <v>135</v>
      </c>
      <c r="C14" s="118"/>
      <c r="D14" s="236">
        <f>[1]!FP1240WIA</f>
        <v>0</v>
      </c>
      <c r="E14" s="19"/>
      <c r="F14" s="211">
        <v>10</v>
      </c>
      <c r="G14" s="237">
        <v>9</v>
      </c>
      <c r="H14" s="510" t="s">
        <v>136</v>
      </c>
      <c r="I14" s="510"/>
      <c r="J14" s="510"/>
      <c r="K14" s="510"/>
      <c r="L14" s="510"/>
      <c r="M14" s="240">
        <f t="array" ref="M14">[1]!IEPtransportation</f>
        <v>0</v>
      </c>
      <c r="N14" s="20"/>
      <c r="O14" s="211">
        <v>9</v>
      </c>
      <c r="R14" s="221"/>
      <c r="S14" s="221"/>
    </row>
    <row r="15" spans="1:19" ht="12.75" customHeight="1">
      <c r="A15" s="235">
        <v>11</v>
      </c>
      <c r="B15" s="118" t="s">
        <v>137</v>
      </c>
      <c r="C15" s="118"/>
      <c r="D15" s="236">
        <f>[1]!FP1250AEA</f>
        <v>0</v>
      </c>
      <c r="E15" s="19"/>
      <c r="F15" s="211">
        <v>11</v>
      </c>
      <c r="H15" s="510"/>
      <c r="I15" s="510"/>
      <c r="J15" s="510"/>
      <c r="K15" s="510"/>
      <c r="L15" s="510"/>
      <c r="N15" s="221"/>
      <c r="O15" s="211"/>
      <c r="R15" s="221"/>
      <c r="S15" s="221"/>
    </row>
    <row r="16" spans="1:19" ht="12" customHeight="1">
      <c r="A16" s="235">
        <v>12</v>
      </c>
      <c r="B16" s="118" t="s">
        <v>138</v>
      </c>
      <c r="C16" s="118"/>
      <c r="D16" s="236">
        <f>[1]!FP12601270VocEd</f>
        <v>0</v>
      </c>
      <c r="E16" s="19"/>
      <c r="F16" s="211">
        <v>12</v>
      </c>
      <c r="G16" s="237"/>
      <c r="H16" s="118"/>
      <c r="I16" s="118"/>
      <c r="J16" s="118"/>
      <c r="K16" s="118"/>
      <c r="M16" s="241"/>
      <c r="N16" s="241"/>
      <c r="O16" s="211"/>
      <c r="R16" s="221"/>
      <c r="S16" s="221"/>
    </row>
    <row r="17" spans="1:19" ht="12" customHeight="1">
      <c r="A17" s="235">
        <v>13</v>
      </c>
      <c r="B17" s="118" t="s">
        <v>139</v>
      </c>
      <c r="C17" s="118"/>
      <c r="D17" s="236">
        <f>[1]!FP1280TitleX</f>
        <v>0</v>
      </c>
      <c r="E17" s="19"/>
      <c r="F17" s="211">
        <v>13</v>
      </c>
      <c r="G17" s="237"/>
      <c r="H17" s="233" t="s">
        <v>140</v>
      </c>
      <c r="I17" s="234"/>
      <c r="J17" s="234"/>
      <c r="K17" s="234"/>
      <c r="L17" s="234"/>
      <c r="M17" s="241"/>
      <c r="N17" s="241"/>
      <c r="O17" s="211"/>
      <c r="R17" s="221"/>
      <c r="S17" s="221"/>
    </row>
    <row r="18" spans="1:19" ht="12" customHeight="1">
      <c r="A18" s="235">
        <v>14</v>
      </c>
      <c r="B18" s="118" t="s">
        <v>141</v>
      </c>
      <c r="C18" s="118"/>
      <c r="D18" s="236">
        <f>[1]!FP1290Medicaid</f>
        <v>0</v>
      </c>
      <c r="E18" s="19"/>
      <c r="F18" s="211">
        <v>14</v>
      </c>
      <c r="G18" s="237"/>
      <c r="H18" s="393" t="s">
        <v>142</v>
      </c>
      <c r="M18" s="242"/>
      <c r="N18" s="242"/>
      <c r="R18" s="221"/>
      <c r="S18" s="221"/>
    </row>
    <row r="19" spans="1:19" ht="12" customHeight="1">
      <c r="A19" s="235">
        <v>15</v>
      </c>
      <c r="B19" s="118" t="s">
        <v>143</v>
      </c>
      <c r="C19" s="118"/>
      <c r="D19" s="240">
        <f>[1]!FP1300Charter</f>
        <v>0</v>
      </c>
      <c r="E19" s="20"/>
      <c r="F19" s="211">
        <v>15</v>
      </c>
      <c r="G19" s="237"/>
      <c r="H19" s="118"/>
      <c r="I19" s="118"/>
      <c r="J19" s="118"/>
      <c r="K19" s="118"/>
      <c r="M19" s="509" t="s">
        <v>500</v>
      </c>
      <c r="N19" s="509" t="s">
        <v>495</v>
      </c>
      <c r="R19" s="221"/>
      <c r="S19" s="221"/>
    </row>
    <row r="20" spans="1:19" ht="12" customHeight="1">
      <c r="A20" s="235">
        <v>16</v>
      </c>
      <c r="B20" s="118" t="s">
        <v>144</v>
      </c>
      <c r="C20" s="118"/>
      <c r="D20" s="243">
        <f>[1]!FP13__ImpactAid</f>
        <v>0</v>
      </c>
      <c r="E20" s="24"/>
      <c r="F20" s="211">
        <v>16</v>
      </c>
      <c r="G20" s="237"/>
      <c r="H20" s="118"/>
      <c r="I20" s="118"/>
      <c r="J20" s="118"/>
      <c r="K20" s="118"/>
      <c r="M20" s="509"/>
      <c r="N20" s="509"/>
      <c r="R20" s="221"/>
      <c r="S20" s="221"/>
    </row>
    <row r="21" spans="1:19" ht="12" customHeight="1" thickBot="1">
      <c r="A21" s="235">
        <v>17</v>
      </c>
      <c r="B21" s="244" t="s">
        <v>145</v>
      </c>
      <c r="C21" s="238"/>
      <c r="D21" s="245">
        <f>[1]!FP13101399Other</f>
        <v>1114</v>
      </c>
      <c r="E21" s="21">
        <v>450</v>
      </c>
      <c r="F21" s="211">
        <v>17</v>
      </c>
      <c r="G21" s="235" t="s">
        <v>5</v>
      </c>
      <c r="H21" s="393" t="s">
        <v>146</v>
      </c>
      <c r="I21" s="393"/>
      <c r="J21" s="118"/>
      <c r="K21" s="118"/>
      <c r="M21" s="240">
        <f>[1]!IIPTeacherCompensationIncreases</f>
        <v>0</v>
      </c>
      <c r="N21" s="20"/>
      <c r="O21" s="235" t="s">
        <v>5</v>
      </c>
      <c r="R21" s="221"/>
      <c r="S21" s="221"/>
    </row>
    <row r="22" spans="1:19" ht="12" customHeight="1" thickBot="1">
      <c r="A22" s="235">
        <v>18</v>
      </c>
      <c r="B22" s="118" t="s">
        <v>147</v>
      </c>
      <c r="C22" s="118"/>
      <c r="D22" s="246">
        <f>SUM(D5:D21)</f>
        <v>141451</v>
      </c>
      <c r="E22" s="246">
        <f>SUM(E5:E21)</f>
        <v>101776</v>
      </c>
      <c r="F22" s="211">
        <v>18</v>
      </c>
      <c r="G22" s="235" t="s">
        <v>8</v>
      </c>
      <c r="H22" s="118" t="s">
        <v>148</v>
      </c>
      <c r="I22" s="118"/>
      <c r="J22" s="247"/>
      <c r="M22" s="240">
        <f>[1]!IIPClassSizeReduction</f>
        <v>0</v>
      </c>
      <c r="N22" s="20"/>
      <c r="O22" s="235" t="s">
        <v>8</v>
      </c>
      <c r="R22" s="221"/>
      <c r="S22" s="221"/>
    </row>
    <row r="23" spans="1:19" ht="12.75" customHeight="1" thickTop="1">
      <c r="A23" s="248" t="s">
        <v>149</v>
      </c>
      <c r="B23" s="118"/>
      <c r="C23" s="118"/>
      <c r="D23" s="199"/>
      <c r="E23" s="249"/>
      <c r="F23" s="211"/>
      <c r="G23" s="235" t="s">
        <v>150</v>
      </c>
      <c r="H23" s="238" t="s">
        <v>151</v>
      </c>
      <c r="I23" s="238"/>
      <c r="J23" s="239"/>
      <c r="K23" s="250"/>
      <c r="M23" s="240">
        <f>[1]!IIPDropoutPreventionPrograms</f>
        <v>0</v>
      </c>
      <c r="N23" s="20"/>
      <c r="O23" s="235" t="s">
        <v>150</v>
      </c>
      <c r="R23" s="221"/>
      <c r="S23" s="221"/>
    </row>
    <row r="24" spans="1:19" ht="12" customHeight="1">
      <c r="A24" s="235">
        <v>19</v>
      </c>
      <c r="B24" s="118" t="s">
        <v>152</v>
      </c>
      <c r="C24" s="118"/>
      <c r="D24" s="207">
        <f>[1]!SP1400VocEd</f>
        <v>0</v>
      </c>
      <c r="E24" s="7"/>
      <c r="F24" s="211">
        <v>19</v>
      </c>
      <c r="G24" s="235" t="s">
        <v>153</v>
      </c>
      <c r="H24" s="238" t="s">
        <v>154</v>
      </c>
      <c r="I24" s="238"/>
      <c r="J24" s="239"/>
      <c r="K24" s="250"/>
      <c r="M24" s="240">
        <f>[1]!IIPInstructionalImprovementPrograms</f>
        <v>11869</v>
      </c>
      <c r="N24" s="20">
        <v>19989</v>
      </c>
      <c r="O24" s="235" t="s">
        <v>153</v>
      </c>
      <c r="R24" s="221"/>
      <c r="S24" s="221"/>
    </row>
    <row r="25" spans="1:19" ht="12" customHeight="1" thickBot="1">
      <c r="A25" s="235">
        <v>20</v>
      </c>
      <c r="B25" s="118" t="s">
        <v>155</v>
      </c>
      <c r="C25" s="118"/>
      <c r="D25" s="236">
        <f>[1]!SP1410EarlyChildhoodBlockGrant</f>
        <v>0</v>
      </c>
      <c r="E25" s="19"/>
      <c r="F25" s="211">
        <v>20</v>
      </c>
      <c r="G25" s="235" t="s">
        <v>156</v>
      </c>
      <c r="H25" s="393" t="s">
        <v>157</v>
      </c>
      <c r="I25" s="393"/>
      <c r="J25" s="118"/>
      <c r="K25" s="118"/>
      <c r="M25" s="246">
        <f>SUM(M21:M24)</f>
        <v>11869</v>
      </c>
      <c r="N25" s="246">
        <f>SUM(N21:N24)</f>
        <v>19989</v>
      </c>
      <c r="O25" s="235" t="s">
        <v>156</v>
      </c>
      <c r="R25" s="221"/>
      <c r="S25" s="221"/>
    </row>
    <row r="26" spans="1:19" ht="12" customHeight="1" thickTop="1">
      <c r="A26" s="235">
        <v>21</v>
      </c>
      <c r="B26" s="118" t="s">
        <v>158</v>
      </c>
      <c r="C26" s="118"/>
      <c r="D26" s="236">
        <f>[1]!FP1420ExtendedSchool</f>
        <v>0</v>
      </c>
      <c r="E26" s="19"/>
      <c r="F26" s="211">
        <v>21</v>
      </c>
      <c r="K26" s="247"/>
      <c r="R26" s="221"/>
      <c r="S26" s="221"/>
    </row>
    <row r="27" spans="1:19" ht="12" customHeight="1">
      <c r="A27" s="235">
        <v>22</v>
      </c>
      <c r="B27" s="118" t="s">
        <v>159</v>
      </c>
      <c r="C27" s="118"/>
      <c r="D27" s="236">
        <f>[1]!SP1425AdultBasicEd</f>
        <v>0</v>
      </c>
      <c r="E27" s="19"/>
      <c r="F27" s="211">
        <v>22</v>
      </c>
      <c r="H27" s="230" t="s">
        <v>160</v>
      </c>
      <c r="I27" s="129"/>
      <c r="J27" s="129"/>
      <c r="L27" s="233" t="s">
        <v>161</v>
      </c>
      <c r="M27" s="251"/>
      <c r="N27" s="251"/>
      <c r="O27" s="211"/>
      <c r="R27" s="221"/>
      <c r="S27" s="221"/>
    </row>
    <row r="28" spans="1:19" ht="12" customHeight="1">
      <c r="A28" s="235">
        <v>23</v>
      </c>
      <c r="B28" s="118" t="s">
        <v>162</v>
      </c>
      <c r="C28" s="118"/>
      <c r="D28" s="236">
        <f>[1]!SP1430ChemicalAbuse</f>
        <v>0</v>
      </c>
      <c r="E28" s="19"/>
      <c r="F28" s="211">
        <v>23</v>
      </c>
      <c r="H28" s="230" t="s">
        <v>163</v>
      </c>
      <c r="I28" s="129"/>
      <c r="J28" s="129"/>
      <c r="L28" s="129" t="s">
        <v>164</v>
      </c>
      <c r="M28" s="129"/>
      <c r="N28" s="129"/>
    </row>
    <row r="29" spans="1:19" ht="12" customHeight="1">
      <c r="A29" s="235">
        <v>24</v>
      </c>
      <c r="B29" s="118" t="s">
        <v>165</v>
      </c>
      <c r="C29" s="118"/>
      <c r="D29" s="236">
        <f>[1]!SP1435AcademicContests</f>
        <v>0</v>
      </c>
      <c r="E29" s="19"/>
      <c r="F29" s="211">
        <v>24</v>
      </c>
      <c r="H29" t="s">
        <v>166</v>
      </c>
      <c r="I29" s="407" t="s">
        <v>167</v>
      </c>
      <c r="J29" s="14">
        <v>13</v>
      </c>
      <c r="L29" s="5" t="s">
        <v>168</v>
      </c>
      <c r="N29" s="8">
        <v>14000</v>
      </c>
    </row>
    <row r="30" spans="1:19" ht="12" customHeight="1">
      <c r="A30" s="235">
        <v>25</v>
      </c>
      <c r="B30" s="118" t="s">
        <v>169</v>
      </c>
      <c r="C30" s="118"/>
      <c r="D30" s="236">
        <f>[1]!SP1450GiftedEd</f>
        <v>0</v>
      </c>
      <c r="E30" s="19"/>
      <c r="F30" s="211">
        <v>25</v>
      </c>
      <c r="G30" s="391"/>
      <c r="H30" t="s">
        <v>170</v>
      </c>
      <c r="I30" s="407" t="s">
        <v>167</v>
      </c>
      <c r="J30" s="25">
        <v>9</v>
      </c>
      <c r="K30" s="118"/>
      <c r="L30" s="5" t="s">
        <v>171</v>
      </c>
      <c r="N30" s="8">
        <f>'Page 1'!L23+'Page 1'!L37</f>
        <v>2642394</v>
      </c>
      <c r="O30" s="94"/>
    </row>
    <row r="31" spans="1:19" ht="12" customHeight="1">
      <c r="A31" s="235">
        <v>26</v>
      </c>
      <c r="B31" s="238" t="s">
        <v>172</v>
      </c>
      <c r="C31" s="238"/>
      <c r="D31" s="236">
        <f>'[1]Page 2'!$E$31</f>
        <v>0</v>
      </c>
      <c r="E31" s="19"/>
      <c r="F31" s="211">
        <v>26</v>
      </c>
      <c r="I31" s="407"/>
      <c r="J31" s="252"/>
      <c r="L31" s="5"/>
      <c r="N31" s="221"/>
      <c r="O31" s="94"/>
    </row>
    <row r="32" spans="1:19" ht="12" customHeight="1">
      <c r="A32" s="235">
        <v>27</v>
      </c>
      <c r="B32" s="118" t="s">
        <v>173</v>
      </c>
      <c r="C32" s="118"/>
      <c r="D32" s="236">
        <f>[1]!SP1460EnvironmentalSpecialPlate</f>
        <v>0</v>
      </c>
      <c r="E32" s="19"/>
      <c r="F32" s="211">
        <v>27</v>
      </c>
      <c r="H32" s="253" t="s">
        <v>174</v>
      </c>
      <c r="I32" s="254"/>
      <c r="J32" s="255"/>
      <c r="K32" s="256"/>
      <c r="L32" s="256"/>
      <c r="M32" s="256"/>
      <c r="O32" s="94"/>
    </row>
    <row r="33" spans="1:15" ht="12" customHeight="1">
      <c r="A33" s="235">
        <v>28</v>
      </c>
      <c r="B33" s="118" t="s">
        <v>175</v>
      </c>
      <c r="C33" s="118"/>
      <c r="D33" s="236">
        <f>[1]!SP1465CharterSchool</f>
        <v>0</v>
      </c>
      <c r="E33" s="19"/>
      <c r="F33" s="211">
        <v>28</v>
      </c>
      <c r="H33" s="253" t="s">
        <v>176</v>
      </c>
      <c r="I33" s="254"/>
      <c r="J33" s="255"/>
      <c r="K33" s="256"/>
      <c r="L33" s="256"/>
      <c r="M33" s="256"/>
    </row>
    <row r="34" spans="1:15" ht="12" customHeight="1">
      <c r="A34" s="235">
        <v>29</v>
      </c>
      <c r="B34" s="244" t="s">
        <v>177</v>
      </c>
      <c r="C34" s="257"/>
      <c r="D34" s="236">
        <f>'[1]Page 2'!$E$34</f>
        <v>0</v>
      </c>
      <c r="E34" s="19"/>
      <c r="F34" s="211">
        <v>29</v>
      </c>
      <c r="H34" s="118" t="s">
        <v>178</v>
      </c>
      <c r="K34" s="129"/>
      <c r="M34" s="258"/>
    </row>
    <row r="35" spans="1:15" ht="12" customHeight="1" thickBot="1">
      <c r="A35" s="235">
        <v>30</v>
      </c>
      <c r="B35" s="244" t="s">
        <v>179</v>
      </c>
      <c r="C35" s="244"/>
      <c r="D35" s="236">
        <f>[1]!SP14701499Other</f>
        <v>0</v>
      </c>
      <c r="E35" s="19"/>
      <c r="F35" s="211">
        <v>30</v>
      </c>
      <c r="H35" s="118" t="s">
        <v>180</v>
      </c>
      <c r="M35" s="258"/>
      <c r="N35" s="8">
        <v>112872</v>
      </c>
    </row>
    <row r="36" spans="1:15" ht="12" customHeight="1" thickBot="1">
      <c r="A36" s="235">
        <v>31</v>
      </c>
      <c r="B36" s="118" t="s">
        <v>181</v>
      </c>
      <c r="C36" s="118"/>
      <c r="D36" s="259">
        <f>SUM(D24:D35)</f>
        <v>0</v>
      </c>
      <c r="E36" s="259">
        <f>SUM(E24:E35)</f>
        <v>0</v>
      </c>
      <c r="F36" s="211">
        <v>31</v>
      </c>
      <c r="H36" s="118"/>
      <c r="K36" s="129"/>
      <c r="O36" s="235"/>
    </row>
    <row r="37" spans="1:15" ht="12" customHeight="1" thickTop="1" thickBot="1">
      <c r="A37" s="235">
        <v>32</v>
      </c>
      <c r="B37" s="118" t="s">
        <v>182</v>
      </c>
      <c r="C37" s="118"/>
      <c r="D37" s="246">
        <f>D22+D36</f>
        <v>141451</v>
      </c>
      <c r="E37" s="246">
        <f>E22+E36</f>
        <v>101776</v>
      </c>
      <c r="F37" s="211">
        <v>32</v>
      </c>
      <c r="G37" s="192"/>
      <c r="H37" s="260" t="s">
        <v>183</v>
      </c>
      <c r="N37" s="261"/>
      <c r="O37" s="235"/>
    </row>
    <row r="38" spans="1:15" ht="12" customHeight="1" thickTop="1">
      <c r="A38" s="391"/>
      <c r="F38" s="211"/>
      <c r="G38" s="262"/>
      <c r="H38" s="118" t="s">
        <v>184</v>
      </c>
      <c r="I38" s="230"/>
      <c r="J38" s="263"/>
      <c r="K38" s="230"/>
      <c r="L38" s="263"/>
      <c r="M38" s="230"/>
      <c r="N38" s="8">
        <v>303917</v>
      </c>
      <c r="O38" s="235"/>
    </row>
    <row r="39" spans="1:15" ht="24" customHeight="1">
      <c r="B39" s="264" t="s">
        <v>185</v>
      </c>
      <c r="C39" s="233"/>
      <c r="D39" s="444" t="s">
        <v>496</v>
      </c>
      <c r="E39" s="444" t="s">
        <v>497</v>
      </c>
      <c r="F39" s="211"/>
      <c r="G39" s="262"/>
      <c r="H39" s="118" t="s">
        <v>186</v>
      </c>
      <c r="I39" s="118"/>
      <c r="J39" s="118"/>
      <c r="K39" s="118"/>
      <c r="L39" s="118"/>
      <c r="M39" s="118"/>
      <c r="N39" s="8">
        <v>130000</v>
      </c>
      <c r="O39" s="235"/>
    </row>
    <row r="40" spans="1:15">
      <c r="A40" s="237">
        <v>1</v>
      </c>
      <c r="B40" t="s">
        <v>187</v>
      </c>
      <c r="D40" s="236">
        <f t="array" ref="D40">[1]!CA0181IntangibleAssets</f>
        <v>0</v>
      </c>
      <c r="E40" s="8"/>
      <c r="F40" s="211">
        <v>1</v>
      </c>
      <c r="G40" s="235"/>
      <c r="H40" s="247"/>
      <c r="I40" s="247"/>
      <c r="J40" s="247"/>
      <c r="K40" s="247"/>
      <c r="L40" s="247"/>
      <c r="M40" s="247"/>
      <c r="N40" s="221"/>
      <c r="O40" s="235"/>
    </row>
    <row r="41" spans="1:15" ht="12" customHeight="1">
      <c r="A41" s="237">
        <v>2</v>
      </c>
      <c r="B41" s="118" t="s">
        <v>188</v>
      </c>
      <c r="D41" s="207">
        <f>[1]!CA0191Land</f>
        <v>0</v>
      </c>
      <c r="E41" s="8"/>
      <c r="F41" s="211">
        <v>2</v>
      </c>
      <c r="G41" s="235"/>
    </row>
    <row r="42" spans="1:15" ht="12" customHeight="1">
      <c r="A42" s="237">
        <v>3</v>
      </c>
      <c r="B42" s="118" t="s">
        <v>189</v>
      </c>
      <c r="D42" s="207">
        <f>[1]!CA0192SiteImprovements</f>
        <v>0</v>
      </c>
      <c r="E42" s="7"/>
      <c r="F42" s="211">
        <v>3</v>
      </c>
      <c r="G42" s="262"/>
    </row>
    <row r="43" spans="1:15" ht="12" customHeight="1">
      <c r="A43" s="237">
        <v>4</v>
      </c>
      <c r="B43" s="118" t="s">
        <v>190</v>
      </c>
      <c r="D43" s="207">
        <f>[1]!CA0194Buildings</f>
        <v>113000</v>
      </c>
      <c r="E43" s="7">
        <v>20000</v>
      </c>
      <c r="F43" s="211">
        <v>4</v>
      </c>
      <c r="G43" s="235"/>
    </row>
    <row r="44" spans="1:15" ht="12" customHeight="1">
      <c r="A44" s="237">
        <v>5</v>
      </c>
      <c r="B44" s="118" t="s">
        <v>191</v>
      </c>
      <c r="D44" s="207">
        <f>[1]!CA0196Equipment</f>
        <v>0</v>
      </c>
      <c r="E44" s="7"/>
      <c r="F44" s="211">
        <v>5</v>
      </c>
      <c r="G44" s="235"/>
    </row>
    <row r="45" spans="1:15" ht="12" customHeight="1" thickBot="1">
      <c r="A45" s="391">
        <v>6</v>
      </c>
      <c r="B45" s="118" t="s">
        <v>192</v>
      </c>
      <c r="D45" s="266">
        <f>[1]!CA0198CIP</f>
        <v>100000</v>
      </c>
      <c r="E45" s="15"/>
      <c r="F45" s="211">
        <v>6</v>
      </c>
      <c r="G45" s="235"/>
    </row>
    <row r="46" spans="1:15" ht="12" customHeight="1" thickBot="1">
      <c r="A46" s="267">
        <v>7</v>
      </c>
      <c r="B46" s="118" t="s">
        <v>193</v>
      </c>
      <c r="D46" s="246">
        <f>SUM(D40:D45)</f>
        <v>213000</v>
      </c>
      <c r="E46" s="246">
        <f>SUM(E40:E45)</f>
        <v>20000</v>
      </c>
      <c r="F46" s="211">
        <v>7</v>
      </c>
      <c r="G46" s="265"/>
    </row>
    <row r="47" spans="1:15" ht="13.5" customHeight="1" thickTop="1">
      <c r="G47" s="265"/>
      <c r="N47" s="241"/>
    </row>
    <row r="48" spans="1:15" ht="13.5" customHeight="1">
      <c r="A48" s="267">
        <v>8</v>
      </c>
      <c r="B48" s="505" t="s">
        <v>194</v>
      </c>
      <c r="C48" s="506"/>
      <c r="D48" s="214">
        <f>[1]!CAK3Reading</f>
        <v>213000</v>
      </c>
      <c r="E48" s="8">
        <f>TotalCapitalAcquisitions</f>
        <v>20000</v>
      </c>
      <c r="F48" s="211">
        <v>8</v>
      </c>
    </row>
    <row r="49" spans="9:9" ht="27" customHeight="1"/>
    <row r="50" spans="9:9" ht="12.75" customHeight="1">
      <c r="I50" s="5"/>
    </row>
  </sheetData>
  <sheetProtection sheet="1" objects="1" scenarios="1"/>
  <mergeCells count="10">
    <mergeCell ref="Q3:Q4"/>
    <mergeCell ref="R3:R4"/>
    <mergeCell ref="C1:F1"/>
    <mergeCell ref="I1:K1"/>
    <mergeCell ref="B48:C48"/>
    <mergeCell ref="A3:C3"/>
    <mergeCell ref="M19:M20"/>
    <mergeCell ref="N19:N20"/>
    <mergeCell ref="H14:L15"/>
    <mergeCell ref="P1:Q1"/>
  </mergeCells>
  <conditionalFormatting sqref="N12">
    <cfRule type="cellIs" dxfId="6" priority="1" stopIfTrue="1" operator="equal">
      <formula>"Invalid"</formula>
    </cfRule>
  </conditionalFormatting>
  <hyperlinks>
    <hyperlink ref="H3:N3" location="Pg2SpecialEd" display="SPECIAL EDUCATION PROGRAMS BY TYPE"/>
    <hyperlink ref="B39:C39" location="CapitalAcquisitions" display="CAPITAL ACQUISITIONS"/>
    <hyperlink ref="A3:E3" location="TotalFederalAndStateProjects" display="FEDERAL AND STATE PROJECTS"/>
    <hyperlink ref="H17:K17" r:id="rId1" display="INSTRUCTIONAL IMPROVEMENT PROJECT"/>
    <hyperlink ref="H17:L17" location="Pg2InstructionalImprovementProj" display="INSTRUCTIONAL IMPROVEMENT PROJECT"/>
    <hyperlink ref="H23:K23" location="Pg2Lines3and4" display="Dropout Prevention Programs"/>
    <hyperlink ref="H24:K24" location="Pg2Lines3and4" display="Instructional Improvement Programs"/>
    <hyperlink ref="H5:J5" location="Pg2Line1" display="Total All Categories"/>
    <hyperlink ref="H32:M33" location="Pg2StateEqualAssist" display="STATE EQUALIZATION ASSISTANCE BUDGETED"/>
    <hyperlink ref="B31:C31" location="CollegeCreditExamIncentives" display="1456 College Credit Exam Incentives"/>
    <hyperlink ref="B34:C34" location="ArizonaIndustryCredentialsIncentives" display="14__  Arizona Industry Credentials Incentives"/>
    <hyperlink ref="B21:C21" location="TotalFederalAndStateProjects" display="1310-1399  Other Federal Projects"/>
    <hyperlink ref="H37" location="Pg2DebtService" display="Debt service"/>
    <hyperlink ref="H14:J15" location="Pg2Line9" display="Expenses budgeted for transporting students with disabilities (as defined in A.R.S. §15-761) unique to the IEP"/>
    <hyperlink ref="L27:N27" location="Pg2ExpensesByType" display="Selected expenses by type"/>
    <hyperlink ref="B35" location="OtherStateProjects" display="Other State Projects"/>
    <hyperlink ref="P1" location="TotalFederalAndStateProjects" display="Instructions"/>
  </hyperlinks>
  <printOptions horizontalCentered="1" verticalCentered="1"/>
  <pageMargins left="0.75" right="0.5" top="0.25" bottom="0.25" header="0" footer="0"/>
  <pageSetup paperSize="5" scale="75" orientation="landscape" r:id="rId2"/>
  <headerFooter>
    <oddFooter>&amp;L&amp;"Arial,Bold"Rev. 5/25 Arizona Department of Education and Auditor General&amp;R&amp;"Arial,Bold"Page 2 of 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showGridLines="0" workbookViewId="0">
      <selection activeCell="D18" sqref="D18"/>
    </sheetView>
  </sheetViews>
  <sheetFormatPr defaultColWidth="9" defaultRowHeight="12.75" customHeight="1"/>
  <cols>
    <col min="1" max="2" width="1.5703125" customWidth="1"/>
    <col min="3" max="3" width="14.5703125" customWidth="1"/>
    <col min="4" max="4" width="52.42578125" customWidth="1"/>
    <col min="5" max="5" width="3.5703125" customWidth="1"/>
    <col min="6" max="12" width="15.42578125" customWidth="1"/>
    <col min="13" max="13" width="3.5703125" customWidth="1"/>
    <col min="14" max="15" width="13.5703125" customWidth="1"/>
    <col min="16" max="16" width="4" customWidth="1"/>
    <col min="17" max="17" width="9" customWidth="1"/>
  </cols>
  <sheetData>
    <row r="1" spans="1:14">
      <c r="A1" t="s">
        <v>0</v>
      </c>
      <c r="D1" s="396" t="str">
        <f>CharterName</f>
        <v>Freedom Academy Inc</v>
      </c>
      <c r="E1" s="5"/>
      <c r="F1" s="407" t="s">
        <v>38</v>
      </c>
      <c r="G1" s="392" t="str">
        <f>Cover!M1</f>
        <v>Maricopa</v>
      </c>
      <c r="H1" s="4"/>
      <c r="I1" s="4"/>
      <c r="J1" s="4"/>
      <c r="K1" s="407" t="s">
        <v>2</v>
      </c>
      <c r="L1" s="397" t="str">
        <f>CTD</f>
        <v>078528000</v>
      </c>
      <c r="M1" s="4"/>
    </row>
    <row r="2" spans="1:14" ht="12.75" customHeight="1">
      <c r="A2" s="129"/>
      <c r="B2" s="129"/>
      <c r="C2" s="129"/>
      <c r="D2" s="129"/>
      <c r="E2" s="129"/>
      <c r="F2" s="129"/>
      <c r="G2" s="129"/>
      <c r="H2" s="129"/>
      <c r="I2" s="129"/>
      <c r="J2" s="129"/>
      <c r="K2" s="129"/>
    </row>
    <row r="3" spans="1:14">
      <c r="A3" s="129"/>
      <c r="B3" s="129"/>
      <c r="C3" s="129"/>
      <c r="D3" s="459" t="s">
        <v>543</v>
      </c>
      <c r="E3" s="129"/>
      <c r="F3" s="129"/>
      <c r="G3" s="129"/>
      <c r="H3" s="129"/>
      <c r="I3" s="129"/>
      <c r="J3" s="129"/>
      <c r="K3" s="129"/>
    </row>
    <row r="4" spans="1:14">
      <c r="A4" s="268"/>
      <c r="B4" s="269"/>
      <c r="C4" s="269"/>
      <c r="D4" s="514"/>
      <c r="E4" s="270"/>
      <c r="F4" s="271"/>
      <c r="G4" s="198" t="s">
        <v>195</v>
      </c>
      <c r="H4" s="272" t="s">
        <v>67</v>
      </c>
      <c r="I4" s="273"/>
      <c r="J4" s="512" t="s">
        <v>68</v>
      </c>
      <c r="K4" s="513"/>
      <c r="L4" s="273" t="s">
        <v>74</v>
      </c>
    </row>
    <row r="5" spans="1:14" ht="12.75" customHeight="1">
      <c r="A5" s="274" t="s">
        <v>69</v>
      </c>
      <c r="D5" s="515"/>
      <c r="E5" s="91"/>
      <c r="F5" s="195" t="s">
        <v>75</v>
      </c>
      <c r="G5" s="107" t="s">
        <v>76</v>
      </c>
      <c r="H5" s="275" t="s">
        <v>71</v>
      </c>
      <c r="I5" s="195" t="s">
        <v>78</v>
      </c>
      <c r="J5" s="195" t="s">
        <v>196</v>
      </c>
      <c r="K5" s="195" t="s">
        <v>197</v>
      </c>
      <c r="L5" s="195" t="s">
        <v>81</v>
      </c>
    </row>
    <row r="6" spans="1:14">
      <c r="A6" s="402"/>
      <c r="B6" s="403"/>
      <c r="C6" s="403"/>
      <c r="D6" s="403"/>
      <c r="E6" s="404"/>
      <c r="F6" s="202">
        <v>6100</v>
      </c>
      <c r="G6" s="276">
        <v>6200</v>
      </c>
      <c r="H6" s="275" t="s">
        <v>198</v>
      </c>
      <c r="I6" s="195">
        <v>6600</v>
      </c>
      <c r="J6" s="195">
        <v>2025</v>
      </c>
      <c r="K6" s="195">
        <v>2026</v>
      </c>
      <c r="L6" s="195" t="s">
        <v>83</v>
      </c>
    </row>
    <row r="7" spans="1:14" ht="12.75" customHeight="1">
      <c r="A7" s="277" t="s">
        <v>199</v>
      </c>
      <c r="B7" s="278"/>
      <c r="C7" s="278"/>
      <c r="D7" s="278"/>
      <c r="F7" s="203"/>
      <c r="G7" s="204"/>
      <c r="H7" s="203"/>
      <c r="I7" s="203"/>
      <c r="J7" s="279"/>
      <c r="K7" s="204"/>
      <c r="L7" s="206"/>
      <c r="M7" s="280"/>
      <c r="N7" s="281"/>
    </row>
    <row r="8" spans="1:14">
      <c r="A8" s="53"/>
      <c r="C8" t="s">
        <v>85</v>
      </c>
      <c r="D8" s="194"/>
      <c r="E8" s="391">
        <v>1</v>
      </c>
      <c r="F8" s="7">
        <v>211941</v>
      </c>
      <c r="G8" s="22">
        <v>18430</v>
      </c>
      <c r="H8" s="7"/>
      <c r="I8" s="7"/>
      <c r="J8" s="216">
        <f t="array" ref="J8">[1]!_CSP1000</f>
        <v>262330</v>
      </c>
      <c r="K8" s="208">
        <f t="shared" ref="K8:K12" si="0">SUM(F8:I8)</f>
        <v>230371</v>
      </c>
      <c r="L8" s="212">
        <f t="shared" ref="L8:L13" si="1">IF(J8=0," ",(K8-J8)/J8)</f>
        <v>-0.122</v>
      </c>
      <c r="M8" s="211">
        <v>1</v>
      </c>
      <c r="N8" s="281"/>
    </row>
    <row r="9" spans="1:14" ht="12.75" customHeight="1">
      <c r="A9" s="53"/>
      <c r="C9" t="s">
        <v>200</v>
      </c>
      <c r="E9" s="391">
        <v>2</v>
      </c>
      <c r="F9" s="7"/>
      <c r="G9" s="7"/>
      <c r="H9" s="7"/>
      <c r="I9" s="7"/>
      <c r="J9" s="207">
        <f t="array" ref="J9">[1]!_CSP2100</f>
        <v>0</v>
      </c>
      <c r="K9" s="208">
        <f t="shared" si="0"/>
        <v>0</v>
      </c>
      <c r="L9" s="212" t="str">
        <f t="shared" si="1"/>
        <v xml:space="preserve"> </v>
      </c>
      <c r="M9" s="211">
        <v>2</v>
      </c>
      <c r="N9" s="281"/>
    </row>
    <row r="10" spans="1:14">
      <c r="A10" s="53"/>
      <c r="C10" t="s">
        <v>201</v>
      </c>
      <c r="E10" s="391">
        <v>3</v>
      </c>
      <c r="F10" s="7"/>
      <c r="G10" s="7"/>
      <c r="H10" s="7"/>
      <c r="I10" s="7"/>
      <c r="J10" s="207">
        <f t="array" ref="J10">[1]!_CSP2200</f>
        <v>0</v>
      </c>
      <c r="K10" s="208">
        <f t="shared" si="0"/>
        <v>0</v>
      </c>
      <c r="L10" s="212" t="str">
        <f t="shared" si="1"/>
        <v xml:space="preserve"> </v>
      </c>
      <c r="M10" s="211">
        <v>3</v>
      </c>
      <c r="N10" s="281"/>
    </row>
    <row r="11" spans="1:14">
      <c r="A11" s="53"/>
      <c r="C11" s="244" t="s">
        <v>202</v>
      </c>
      <c r="D11" s="244"/>
      <c r="E11" s="391">
        <v>4</v>
      </c>
      <c r="F11" s="226"/>
      <c r="G11" s="226"/>
      <c r="H11" s="7"/>
      <c r="I11" s="226"/>
      <c r="J11" s="207">
        <f t="array" ref="J11">[1]!_CSP2300</f>
        <v>0</v>
      </c>
      <c r="K11" s="208">
        <f t="shared" si="0"/>
        <v>0</v>
      </c>
      <c r="L11" s="220" t="str">
        <f t="shared" si="1"/>
        <v xml:space="preserve"> </v>
      </c>
      <c r="M11" s="211">
        <v>4</v>
      </c>
    </row>
    <row r="12" spans="1:14" ht="12.75" customHeight="1">
      <c r="A12" s="53"/>
      <c r="C12" t="s">
        <v>203</v>
      </c>
      <c r="E12" s="391">
        <v>5</v>
      </c>
      <c r="F12" s="8"/>
      <c r="G12" s="8"/>
      <c r="H12" s="7"/>
      <c r="I12" s="226"/>
      <c r="J12" s="207">
        <f t="array" ref="J12">[1]!_CSP3300</f>
        <v>0</v>
      </c>
      <c r="K12" s="208">
        <f t="shared" si="0"/>
        <v>0</v>
      </c>
      <c r="L12" s="212" t="str">
        <f t="shared" si="1"/>
        <v xml:space="preserve"> </v>
      </c>
      <c r="M12" s="211">
        <v>5</v>
      </c>
      <c r="N12" s="281"/>
    </row>
    <row r="13" spans="1:14" ht="12.75" customHeight="1">
      <c r="A13" s="75" t="s">
        <v>204</v>
      </c>
      <c r="B13" s="227"/>
      <c r="C13" s="227"/>
      <c r="D13" s="227"/>
      <c r="E13" s="282">
        <v>6</v>
      </c>
      <c r="F13" s="283">
        <f>SUM(F8:F12)</f>
        <v>211941</v>
      </c>
      <c r="G13" s="283">
        <f>SUM(G8:G12)</f>
        <v>18430</v>
      </c>
      <c r="H13" s="283">
        <f>SUM(H8:H12)</f>
        <v>0</v>
      </c>
      <c r="I13" s="283">
        <f>SUM(I8:I12)</f>
        <v>0</v>
      </c>
      <c r="J13" s="284">
        <f t="array" ref="J13">[1]!CSPTotal</f>
        <v>262330</v>
      </c>
      <c r="K13" s="283">
        <f>SUM(F13:I13)</f>
        <v>230371</v>
      </c>
      <c r="L13" s="212">
        <f t="shared" si="1"/>
        <v>-0.122</v>
      </c>
      <c r="M13" s="211">
        <v>6</v>
      </c>
    </row>
    <row r="16" spans="1:14" ht="12.75" customHeight="1">
      <c r="A16" s="277" t="s">
        <v>205</v>
      </c>
      <c r="B16" s="285"/>
      <c r="C16" s="285"/>
      <c r="D16" s="285"/>
    </row>
    <row r="17" spans="3:6" ht="12.75" customHeight="1">
      <c r="C17" t="s">
        <v>206</v>
      </c>
      <c r="D17" s="192"/>
      <c r="F17" s="8"/>
    </row>
    <row r="18" spans="3:6" ht="12.75" customHeight="1">
      <c r="C18" t="s">
        <v>184</v>
      </c>
      <c r="D18" s="192"/>
      <c r="F18" s="7"/>
    </row>
    <row r="19" spans="3:6" ht="12.75" customHeight="1">
      <c r="C19" t="s">
        <v>186</v>
      </c>
      <c r="D19" s="192"/>
      <c r="F19" s="7"/>
    </row>
  </sheetData>
  <sheetProtection sheet="1" objects="1" scenarios="1"/>
  <mergeCells count="2">
    <mergeCell ref="J4:K4"/>
    <mergeCell ref="D4:D5"/>
  </mergeCells>
  <hyperlinks>
    <hyperlink ref="A7:D7" location="Pg3ClassroomSiteProj" display="Classroom Site Project 1011 - Base Salary"/>
    <hyperlink ref="C11" location="Page3ClassroomSiteProjectsFunc2300" display="2300 Support Services - General Administration"/>
    <hyperlink ref="A16:D16" location="Page3ClassroomSiteProjectsSubTable" display="Classroom Site Project 1010"/>
    <hyperlink ref="D3" location="Pg3ClassroomSiteProj" display="Instructions"/>
  </hyperlinks>
  <printOptions horizontalCentered="1"/>
  <pageMargins left="0.75" right="0.5" top="0.25" bottom="0.25" header="0" footer="0"/>
  <pageSetup paperSize="5" scale="68" orientation="landscape" r:id="rId1"/>
  <headerFooter>
    <oddFooter>&amp;L&amp;"Arial,Bold"Rev. 5/25 Arizona Department of Education and Auditor General&amp;R&amp;"Arial,Bold"Page 3 of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3"/>
  <sheetViews>
    <sheetView showGridLines="0" topLeftCell="A16" workbookViewId="0"/>
  </sheetViews>
  <sheetFormatPr defaultColWidth="9.42578125" defaultRowHeight="12.75"/>
  <cols>
    <col min="1" max="2" width="1.5703125" customWidth="1"/>
    <col min="3" max="3" width="14.5703125" customWidth="1"/>
    <col min="4" max="4" width="27" customWidth="1"/>
    <col min="5" max="5" width="3.5703125" customWidth="1"/>
    <col min="6" max="7" width="7" customWidth="1"/>
    <col min="8" max="14" width="12.5703125" customWidth="1"/>
    <col min="15" max="15" width="11.5703125" customWidth="1"/>
    <col min="16" max="16" width="3.5703125" customWidth="1"/>
    <col min="17" max="17" width="7" customWidth="1"/>
  </cols>
  <sheetData>
    <row r="1" spans="1:16">
      <c r="A1" t="s">
        <v>207</v>
      </c>
      <c r="D1" s="501" t="str">
        <f>CharterName</f>
        <v>Freedom Academy Inc</v>
      </c>
      <c r="E1" s="501"/>
      <c r="F1" s="501"/>
      <c r="G1" s="5"/>
      <c r="I1" s="407" t="s">
        <v>38</v>
      </c>
      <c r="J1" s="504" t="str">
        <f>Cover!M1</f>
        <v>Maricopa</v>
      </c>
      <c r="K1" s="504"/>
      <c r="M1" s="407" t="s">
        <v>2</v>
      </c>
      <c r="N1" s="502" t="str">
        <f>CTD</f>
        <v>078528000</v>
      </c>
      <c r="O1" s="502"/>
    </row>
    <row r="2" spans="1:16">
      <c r="A2" s="129"/>
      <c r="B2" s="129"/>
      <c r="C2" s="286"/>
      <c r="D2" s="129"/>
      <c r="E2" s="129"/>
      <c r="F2" s="129"/>
      <c r="G2" s="129"/>
      <c r="H2" s="129"/>
      <c r="I2" s="129"/>
      <c r="J2" s="129"/>
    </row>
    <row r="3" spans="1:16">
      <c r="A3" s="287"/>
      <c r="B3" s="288"/>
      <c r="C3" s="288"/>
      <c r="D3" s="514"/>
      <c r="E3" s="289"/>
      <c r="F3" s="290" t="s">
        <v>208</v>
      </c>
      <c r="G3" s="270"/>
      <c r="H3" s="206"/>
      <c r="I3" s="206"/>
      <c r="J3" s="273" t="s">
        <v>67</v>
      </c>
      <c r="K3" s="205"/>
      <c r="L3" s="205"/>
      <c r="M3" s="196" t="s">
        <v>68</v>
      </c>
      <c r="N3" s="197"/>
      <c r="O3" s="206"/>
    </row>
    <row r="4" spans="1:16">
      <c r="A4" s="511" t="s">
        <v>543</v>
      </c>
      <c r="B4" s="511"/>
      <c r="C4" s="511"/>
      <c r="D4" s="515"/>
      <c r="E4" s="91"/>
      <c r="F4" s="291" t="s">
        <v>209</v>
      </c>
      <c r="G4" s="292"/>
      <c r="H4" s="195"/>
      <c r="I4" s="195" t="s">
        <v>210</v>
      </c>
      <c r="J4" s="195" t="s">
        <v>71</v>
      </c>
      <c r="K4" s="199"/>
      <c r="L4" s="199"/>
      <c r="M4" s="199"/>
      <c r="N4" s="199"/>
      <c r="O4" s="195" t="s">
        <v>74</v>
      </c>
    </row>
    <row r="5" spans="1:16">
      <c r="A5" s="274" t="s">
        <v>69</v>
      </c>
      <c r="E5" s="91"/>
      <c r="F5" s="273" t="s">
        <v>72</v>
      </c>
      <c r="G5" s="273" t="s">
        <v>73</v>
      </c>
      <c r="H5" s="195" t="s">
        <v>75</v>
      </c>
      <c r="I5" s="195" t="s">
        <v>76</v>
      </c>
      <c r="J5" s="195" t="s">
        <v>77</v>
      </c>
      <c r="K5" s="195" t="s">
        <v>78</v>
      </c>
      <c r="L5" s="195" t="s">
        <v>79</v>
      </c>
      <c r="M5" s="195" t="s">
        <v>196</v>
      </c>
      <c r="N5" s="195" t="s">
        <v>197</v>
      </c>
      <c r="O5" s="195" t="s">
        <v>81</v>
      </c>
    </row>
    <row r="6" spans="1:16">
      <c r="A6" s="293"/>
      <c r="B6" s="403"/>
      <c r="C6" s="403"/>
      <c r="D6" s="403"/>
      <c r="E6" s="217"/>
      <c r="F6" s="195" t="s">
        <v>80</v>
      </c>
      <c r="G6" s="195" t="s">
        <v>80</v>
      </c>
      <c r="H6" s="202">
        <v>6100</v>
      </c>
      <c r="I6" s="202">
        <v>6200</v>
      </c>
      <c r="J6" s="202">
        <v>6500</v>
      </c>
      <c r="K6" s="202">
        <v>6600</v>
      </c>
      <c r="L6" s="202">
        <v>6800</v>
      </c>
      <c r="M6" s="195">
        <v>2025</v>
      </c>
      <c r="N6" s="195">
        <v>2026</v>
      </c>
      <c r="O6" s="195" t="s">
        <v>83</v>
      </c>
    </row>
    <row r="7" spans="1:16">
      <c r="A7" s="294" t="s">
        <v>211</v>
      </c>
      <c r="B7" s="295"/>
      <c r="C7" s="295"/>
      <c r="D7" s="295"/>
      <c r="E7" s="296"/>
      <c r="F7" s="297"/>
      <c r="G7" s="298"/>
      <c r="H7" s="203"/>
      <c r="I7" s="203"/>
      <c r="J7" s="203"/>
      <c r="K7" s="203"/>
      <c r="L7" s="204"/>
      <c r="M7" s="206"/>
      <c r="N7" s="206"/>
      <c r="O7" s="206"/>
    </row>
    <row r="8" spans="1:16">
      <c r="A8" s="53"/>
      <c r="B8" t="s">
        <v>212</v>
      </c>
      <c r="E8" s="391"/>
      <c r="F8" s="299"/>
      <c r="G8" s="300"/>
      <c r="H8" s="218"/>
      <c r="I8" s="218"/>
      <c r="J8" s="218"/>
      <c r="K8" s="218"/>
      <c r="L8" s="209"/>
      <c r="M8" s="218"/>
      <c r="N8" s="218"/>
      <c r="O8" s="210"/>
    </row>
    <row r="9" spans="1:16">
      <c r="A9" s="53"/>
      <c r="C9" t="s">
        <v>85</v>
      </c>
      <c r="E9" s="391">
        <v>1</v>
      </c>
      <c r="F9" s="301">
        <f t="array" ref="F9">[1]!SEIP1071P260F1000PPL</f>
        <v>0</v>
      </c>
      <c r="G9" s="23"/>
      <c r="H9" s="7"/>
      <c r="I9" s="7"/>
      <c r="J9" s="7"/>
      <c r="K9" s="7"/>
      <c r="L9" s="22"/>
      <c r="M9" s="207">
        <f t="array" ref="M9">[1]!SEIP1071P260F1000</f>
        <v>0</v>
      </c>
      <c r="N9" s="207">
        <f>SUM(H7:L9)</f>
        <v>0</v>
      </c>
      <c r="O9" s="212" t="str">
        <f>IF(M9=0," ",(N9-M9)/M9)</f>
        <v xml:space="preserve"> </v>
      </c>
      <c r="P9" s="211">
        <v>1</v>
      </c>
    </row>
    <row r="10" spans="1:16">
      <c r="A10" s="53"/>
      <c r="C10" t="s">
        <v>86</v>
      </c>
      <c r="E10" s="391"/>
      <c r="F10" s="206"/>
      <c r="G10" s="298"/>
      <c r="H10" s="203"/>
      <c r="I10" s="203"/>
      <c r="J10" s="203"/>
      <c r="K10" s="203"/>
      <c r="L10" s="204"/>
      <c r="M10" s="206"/>
      <c r="N10" s="206"/>
      <c r="O10" s="206"/>
      <c r="P10" s="211"/>
    </row>
    <row r="11" spans="1:16">
      <c r="A11" s="53"/>
      <c r="C11" t="s">
        <v>213</v>
      </c>
      <c r="E11" s="391">
        <v>2</v>
      </c>
      <c r="F11" s="301">
        <f t="array" ref="F11">[1]!SEIP1071P260F2100PPL</f>
        <v>0</v>
      </c>
      <c r="G11" s="23"/>
      <c r="H11" s="7"/>
      <c r="I11" s="7"/>
      <c r="J11" s="7"/>
      <c r="K11" s="7"/>
      <c r="L11" s="22"/>
      <c r="M11" s="207">
        <f t="array" ref="M11">[1]!SEIP1071P260F2100</f>
        <v>0</v>
      </c>
      <c r="N11" s="207">
        <f>SUM(H10:L11)</f>
        <v>0</v>
      </c>
      <c r="O11" s="212" t="str">
        <f>IF(M11=0," ",(N11-M11)/M11)</f>
        <v xml:space="preserve"> </v>
      </c>
      <c r="P11" s="211">
        <v>2</v>
      </c>
    </row>
    <row r="12" spans="1:16">
      <c r="A12" s="53"/>
      <c r="C12" t="s">
        <v>214</v>
      </c>
      <c r="E12" s="215">
        <v>3</v>
      </c>
      <c r="F12" s="301">
        <f t="array" ref="F12">[1]!SEIP1071P260F2200PPL</f>
        <v>0</v>
      </c>
      <c r="G12" s="17"/>
      <c r="H12" s="18"/>
      <c r="I12" s="18"/>
      <c r="J12" s="18"/>
      <c r="K12" s="18"/>
      <c r="L12" s="18"/>
      <c r="M12" s="302">
        <f t="array" ref="M12">[1]!SEIP1071P260F2200</f>
        <v>0</v>
      </c>
      <c r="N12" s="207">
        <f t="shared" ref="N12:N17" si="0">SUM(H12:L12)</f>
        <v>0</v>
      </c>
      <c r="O12" s="303" t="str">
        <f t="shared" ref="O12:O18" si="1">IF(M12=0," ",(N12-M12)/M12)</f>
        <v xml:space="preserve"> </v>
      </c>
      <c r="P12" s="213">
        <v>3</v>
      </c>
    </row>
    <row r="13" spans="1:16">
      <c r="A13" s="53"/>
      <c r="C13" t="s">
        <v>215</v>
      </c>
      <c r="E13" s="215">
        <v>4</v>
      </c>
      <c r="F13" s="304">
        <f t="array" ref="F13">[1]!SEIP1071P260F2300PPL</f>
        <v>0</v>
      </c>
      <c r="G13" s="17"/>
      <c r="H13" s="18"/>
      <c r="I13" s="18"/>
      <c r="J13" s="18"/>
      <c r="K13" s="18"/>
      <c r="L13" s="18"/>
      <c r="M13" s="284">
        <f t="array" ref="M13">[1]!SEIP1071P260F2300</f>
        <v>0</v>
      </c>
      <c r="N13" s="214">
        <f t="shared" si="0"/>
        <v>0</v>
      </c>
      <c r="O13" s="305" t="str">
        <f t="shared" si="1"/>
        <v xml:space="preserve"> </v>
      </c>
      <c r="P13" s="213">
        <v>4</v>
      </c>
    </row>
    <row r="14" spans="1:16">
      <c r="A14" s="53"/>
      <c r="C14" t="s">
        <v>216</v>
      </c>
      <c r="E14" s="215">
        <v>5</v>
      </c>
      <c r="F14" s="304">
        <f t="array" ref="F14">[1]!SEIP1071P260F2400PPL</f>
        <v>0</v>
      </c>
      <c r="G14" s="17"/>
      <c r="H14" s="18"/>
      <c r="I14" s="18"/>
      <c r="J14" s="18"/>
      <c r="K14" s="18"/>
      <c r="L14" s="18"/>
      <c r="M14" s="284">
        <f t="array" ref="M14">[1]!SEIP1071P260F2400</f>
        <v>0</v>
      </c>
      <c r="N14" s="214">
        <f t="shared" si="0"/>
        <v>0</v>
      </c>
      <c r="O14" s="305" t="str">
        <f t="shared" si="1"/>
        <v xml:space="preserve"> </v>
      </c>
      <c r="P14" s="213">
        <v>5</v>
      </c>
    </row>
    <row r="15" spans="1:16">
      <c r="A15" s="53"/>
      <c r="C15" t="s">
        <v>217</v>
      </c>
      <c r="E15" s="215">
        <v>6</v>
      </c>
      <c r="F15" s="304">
        <f t="array" ref="F15">[1]!SEIP1071P260F2500PPL</f>
        <v>0</v>
      </c>
      <c r="G15" s="17"/>
      <c r="H15" s="18"/>
      <c r="I15" s="18"/>
      <c r="J15" s="18"/>
      <c r="K15" s="18"/>
      <c r="L15" s="18"/>
      <c r="M15" s="284">
        <f t="array" ref="M15">[1]!SEIP1071P260F2500</f>
        <v>0</v>
      </c>
      <c r="N15" s="214">
        <f t="shared" si="0"/>
        <v>0</v>
      </c>
      <c r="O15" s="305" t="str">
        <f t="shared" si="1"/>
        <v xml:space="preserve"> </v>
      </c>
      <c r="P15" s="213">
        <v>6</v>
      </c>
    </row>
    <row r="16" spans="1:16">
      <c r="A16" s="53"/>
      <c r="C16" t="s">
        <v>218</v>
      </c>
      <c r="E16" s="215">
        <v>7</v>
      </c>
      <c r="F16" s="304">
        <f t="array" ref="F16">[1]!SEIP1071P260F2600PPL</f>
        <v>0</v>
      </c>
      <c r="G16" s="12"/>
      <c r="H16" s="8"/>
      <c r="I16" s="8"/>
      <c r="J16" s="8"/>
      <c r="K16" s="8"/>
      <c r="L16" s="8"/>
      <c r="M16" s="284">
        <f t="array" ref="M16">[1]!SEIP1071P260F2600</f>
        <v>0</v>
      </c>
      <c r="N16" s="214">
        <f t="shared" si="0"/>
        <v>0</v>
      </c>
      <c r="O16" s="305" t="str">
        <f t="shared" si="1"/>
        <v xml:space="preserve"> </v>
      </c>
      <c r="P16" s="213">
        <v>7</v>
      </c>
    </row>
    <row r="17" spans="1:16">
      <c r="A17" s="53"/>
      <c r="C17" t="s">
        <v>219</v>
      </c>
      <c r="E17" s="215">
        <v>8</v>
      </c>
      <c r="F17" s="304">
        <f t="array" ref="F17">[1]!SEIP1071P260F2900PPL</f>
        <v>0</v>
      </c>
      <c r="G17" s="13"/>
      <c r="H17" s="7"/>
      <c r="I17" s="7"/>
      <c r="J17" s="7"/>
      <c r="K17" s="7"/>
      <c r="L17" s="7"/>
      <c r="M17" s="284">
        <f t="array" ref="M17">[1]!SEIP1071P260F2900</f>
        <v>0</v>
      </c>
      <c r="N17" s="214">
        <f t="shared" si="0"/>
        <v>0</v>
      </c>
      <c r="O17" s="305" t="str">
        <f t="shared" si="1"/>
        <v xml:space="preserve"> </v>
      </c>
      <c r="P17" s="213">
        <v>8</v>
      </c>
    </row>
    <row r="18" spans="1:16">
      <c r="A18" s="402"/>
      <c r="B18" s="403" t="s">
        <v>220</v>
      </c>
      <c r="C18" s="403"/>
      <c r="D18" s="403"/>
      <c r="E18" s="217">
        <v>9</v>
      </c>
      <c r="F18" s="299">
        <f>SUM(F8:F17)</f>
        <v>0</v>
      </c>
      <c r="G18" s="301">
        <f t="shared" ref="G18:L18" si="2">SUM(G7:G17)</f>
        <v>0</v>
      </c>
      <c r="H18" s="207">
        <f t="shared" si="2"/>
        <v>0</v>
      </c>
      <c r="I18" s="207">
        <f t="shared" si="2"/>
        <v>0</v>
      </c>
      <c r="J18" s="207">
        <f t="shared" si="2"/>
        <v>0</v>
      </c>
      <c r="K18" s="207">
        <f t="shared" si="2"/>
        <v>0</v>
      </c>
      <c r="L18" s="207">
        <f t="shared" si="2"/>
        <v>0</v>
      </c>
      <c r="M18" s="218">
        <f>SUM(M8:M17)</f>
        <v>0</v>
      </c>
      <c r="N18" s="218">
        <f>SUM(N8:N17)</f>
        <v>0</v>
      </c>
      <c r="O18" s="306" t="str">
        <f t="shared" si="1"/>
        <v xml:space="preserve"> </v>
      </c>
      <c r="P18" s="211">
        <v>9</v>
      </c>
    </row>
    <row r="19" spans="1:16">
      <c r="A19" s="53"/>
      <c r="B19" t="s">
        <v>221</v>
      </c>
      <c r="E19" s="391"/>
      <c r="F19" s="206"/>
      <c r="G19" s="298"/>
      <c r="H19" s="203"/>
      <c r="I19" s="203"/>
      <c r="J19" s="203"/>
      <c r="K19" s="203"/>
      <c r="L19" s="204"/>
      <c r="M19" s="206"/>
      <c r="N19" s="205"/>
      <c r="O19" s="206"/>
      <c r="P19" s="211"/>
    </row>
    <row r="20" spans="1:16">
      <c r="A20" s="53"/>
      <c r="C20" t="s">
        <v>86</v>
      </c>
      <c r="E20" s="391"/>
      <c r="F20" s="299"/>
      <c r="G20" s="300"/>
      <c r="H20" s="218"/>
      <c r="I20" s="218"/>
      <c r="J20" s="218"/>
      <c r="K20" s="218"/>
      <c r="L20" s="209"/>
      <c r="M20" s="218"/>
      <c r="N20" s="209"/>
      <c r="O20" s="210"/>
      <c r="P20" s="211"/>
    </row>
    <row r="21" spans="1:16">
      <c r="A21" s="53"/>
      <c r="C21" t="s">
        <v>222</v>
      </c>
      <c r="E21" s="391">
        <v>10</v>
      </c>
      <c r="F21" s="301">
        <f t="array" ref="F21">[1]!SEIP1071P430F2700PPL</f>
        <v>0</v>
      </c>
      <c r="G21" s="23"/>
      <c r="H21" s="7"/>
      <c r="I21" s="7"/>
      <c r="J21" s="7"/>
      <c r="K21" s="7"/>
      <c r="L21" s="22"/>
      <c r="M21" s="207">
        <f t="array" ref="M21">[1]!SEIP1071P430F2700</f>
        <v>0</v>
      </c>
      <c r="N21" s="208">
        <f>SUM(H19:L21)</f>
        <v>0</v>
      </c>
      <c r="O21" s="212" t="str">
        <f>IF(M21=0," ",(N21-M21)/M21)</f>
        <v xml:space="preserve"> </v>
      </c>
      <c r="P21" s="211">
        <v>10</v>
      </c>
    </row>
    <row r="22" spans="1:16">
      <c r="A22" s="75" t="s">
        <v>223</v>
      </c>
      <c r="B22" s="227"/>
      <c r="C22" s="227"/>
      <c r="D22" s="227"/>
      <c r="E22" s="282">
        <v>11</v>
      </c>
      <c r="F22" s="301">
        <f t="shared" ref="F22:L22" si="3">SUM(F18:F21)</f>
        <v>0</v>
      </c>
      <c r="G22" s="301">
        <f t="shared" si="3"/>
        <v>0</v>
      </c>
      <c r="H22" s="214">
        <f t="shared" si="3"/>
        <v>0</v>
      </c>
      <c r="I22" s="214">
        <f t="shared" si="3"/>
        <v>0</v>
      </c>
      <c r="J22" s="214">
        <f t="shared" si="3"/>
        <v>0</v>
      </c>
      <c r="K22" s="214">
        <f t="shared" si="3"/>
        <v>0</v>
      </c>
      <c r="L22" s="214">
        <f t="shared" si="3"/>
        <v>0</v>
      </c>
      <c r="M22" s="207">
        <f t="array" ref="M22">[1]!TotalSEIP</f>
        <v>0</v>
      </c>
      <c r="N22" s="207">
        <f>SUM(N18:N21)</f>
        <v>0</v>
      </c>
      <c r="O22" s="212" t="str">
        <f>IF(M22=0," ",(N22-M22)/M22)</f>
        <v xml:space="preserve"> </v>
      </c>
      <c r="P22" s="213">
        <v>11</v>
      </c>
    </row>
    <row r="24" spans="1:16">
      <c r="A24" s="287"/>
      <c r="B24" s="288"/>
      <c r="C24" s="288"/>
      <c r="D24" s="288"/>
      <c r="E24" s="289"/>
      <c r="F24" s="290" t="s">
        <v>208</v>
      </c>
      <c r="G24" s="270"/>
      <c r="H24" s="206"/>
      <c r="I24" s="206"/>
      <c r="J24" s="273" t="s">
        <v>67</v>
      </c>
      <c r="K24" s="205"/>
      <c r="L24" s="205"/>
      <c r="M24" s="196" t="s">
        <v>68</v>
      </c>
      <c r="N24" s="197"/>
      <c r="O24" s="206"/>
    </row>
    <row r="25" spans="1:16">
      <c r="A25" s="274"/>
      <c r="E25" s="91"/>
      <c r="F25" s="291" t="s">
        <v>209</v>
      </c>
      <c r="G25" s="292"/>
      <c r="H25" s="195"/>
      <c r="I25" s="195" t="s">
        <v>210</v>
      </c>
      <c r="J25" s="195" t="s">
        <v>71</v>
      </c>
      <c r="K25" s="199"/>
      <c r="L25" s="199"/>
      <c r="M25" s="199"/>
      <c r="N25" s="199"/>
      <c r="O25" s="195" t="s">
        <v>74</v>
      </c>
    </row>
    <row r="26" spans="1:16">
      <c r="A26" s="274" t="s">
        <v>69</v>
      </c>
      <c r="E26" s="91"/>
      <c r="F26" s="273" t="s">
        <v>72</v>
      </c>
      <c r="G26" s="273" t="s">
        <v>73</v>
      </c>
      <c r="H26" s="195" t="s">
        <v>75</v>
      </c>
      <c r="I26" s="195" t="s">
        <v>76</v>
      </c>
      <c r="J26" s="195" t="s">
        <v>77</v>
      </c>
      <c r="K26" s="195" t="s">
        <v>78</v>
      </c>
      <c r="L26" s="195" t="s">
        <v>79</v>
      </c>
      <c r="M26" s="195" t="s">
        <v>196</v>
      </c>
      <c r="N26" s="195" t="s">
        <v>197</v>
      </c>
      <c r="O26" s="195" t="s">
        <v>81</v>
      </c>
    </row>
    <row r="27" spans="1:16">
      <c r="A27" s="293"/>
      <c r="B27" s="403"/>
      <c r="C27" s="403"/>
      <c r="D27" s="403"/>
      <c r="E27" s="217"/>
      <c r="F27" s="195" t="s">
        <v>80</v>
      </c>
      <c r="G27" s="195" t="s">
        <v>80</v>
      </c>
      <c r="H27" s="202">
        <v>6100</v>
      </c>
      <c r="I27" s="202">
        <v>6200</v>
      </c>
      <c r="J27" s="202">
        <v>6500</v>
      </c>
      <c r="K27" s="202">
        <v>6600</v>
      </c>
      <c r="L27" s="202">
        <v>6800</v>
      </c>
      <c r="M27" s="195">
        <v>2025</v>
      </c>
      <c r="N27" s="195">
        <v>2026</v>
      </c>
      <c r="O27" s="195" t="s">
        <v>83</v>
      </c>
    </row>
    <row r="28" spans="1:16">
      <c r="A28" s="294" t="s">
        <v>224</v>
      </c>
      <c r="B28" s="307"/>
      <c r="C28" s="307"/>
      <c r="D28" s="307"/>
      <c r="E28" s="308"/>
      <c r="F28" s="206"/>
      <c r="G28" s="298"/>
      <c r="H28" s="203"/>
      <c r="I28" s="203"/>
      <c r="J28" s="203"/>
      <c r="K28" s="203"/>
      <c r="L28" s="204"/>
      <c r="M28" s="206"/>
      <c r="N28" s="206"/>
      <c r="O28" s="206"/>
    </row>
    <row r="29" spans="1:16">
      <c r="A29" s="53"/>
      <c r="B29" t="s">
        <v>225</v>
      </c>
      <c r="E29" s="391"/>
      <c r="F29" s="299"/>
      <c r="G29" s="300"/>
      <c r="H29" s="218"/>
      <c r="I29" s="218"/>
      <c r="J29" s="218"/>
      <c r="K29" s="218"/>
      <c r="L29" s="209"/>
      <c r="M29" s="218"/>
      <c r="N29" s="218"/>
      <c r="O29" s="210"/>
    </row>
    <row r="30" spans="1:16">
      <c r="A30" s="53"/>
      <c r="C30" t="s">
        <v>85</v>
      </c>
      <c r="E30" s="391">
        <v>12</v>
      </c>
      <c r="F30" s="301">
        <f t="array" ref="F30">[1]!CIP1072P265F1000PPL</f>
        <v>0</v>
      </c>
      <c r="G30" s="23"/>
      <c r="H30" s="7"/>
      <c r="I30" s="7"/>
      <c r="J30" s="7"/>
      <c r="K30" s="7"/>
      <c r="L30" s="22"/>
      <c r="M30" s="207">
        <f t="array" ref="M30">[1]!CIP1072P265F1000</f>
        <v>0</v>
      </c>
      <c r="N30" s="207">
        <f>SUM(H28:L30)</f>
        <v>0</v>
      </c>
      <c r="O30" s="212" t="str">
        <f>IF(M30=0," ",(N30-M30)/M30)</f>
        <v xml:space="preserve"> </v>
      </c>
      <c r="P30" s="211">
        <v>12</v>
      </c>
    </row>
    <row r="31" spans="1:16">
      <c r="A31" s="53"/>
      <c r="C31" t="s">
        <v>86</v>
      </c>
      <c r="E31" s="391"/>
      <c r="F31" s="206"/>
      <c r="G31" s="298"/>
      <c r="H31" s="203"/>
      <c r="I31" s="203"/>
      <c r="J31" s="203"/>
      <c r="K31" s="203"/>
      <c r="L31" s="204"/>
      <c r="M31" s="206"/>
      <c r="N31" s="206"/>
      <c r="O31" s="206"/>
    </row>
    <row r="32" spans="1:16">
      <c r="A32" s="53"/>
      <c r="C32" t="s">
        <v>213</v>
      </c>
      <c r="E32" s="391">
        <v>13</v>
      </c>
      <c r="F32" s="301">
        <f t="array" ref="F32">[1]!CIP1072P265F2100PPL</f>
        <v>0</v>
      </c>
      <c r="G32" s="23"/>
      <c r="H32" s="7"/>
      <c r="I32" s="7"/>
      <c r="J32" s="7"/>
      <c r="K32" s="7"/>
      <c r="L32" s="22"/>
      <c r="M32" s="207">
        <f t="array" ref="M32">[1]!CIP1072P265F2100</f>
        <v>0</v>
      </c>
      <c r="N32" s="207">
        <f>SUM(H31:L32)</f>
        <v>0</v>
      </c>
      <c r="O32" s="212" t="str">
        <f>IF(M32=0," ",(N32-M32)/M32)</f>
        <v xml:space="preserve"> </v>
      </c>
      <c r="P32" s="211">
        <v>13</v>
      </c>
    </row>
    <row r="33" spans="1:16">
      <c r="A33" s="53"/>
      <c r="C33" t="s">
        <v>214</v>
      </c>
      <c r="E33" s="215">
        <v>14</v>
      </c>
      <c r="F33" s="301">
        <f t="array" ref="F33">[1]!CIP1072P265F2200PPL</f>
        <v>0</v>
      </c>
      <c r="G33" s="17"/>
      <c r="H33" s="18"/>
      <c r="I33" s="18"/>
      <c r="J33" s="18"/>
      <c r="K33" s="18"/>
      <c r="L33" s="18"/>
      <c r="M33" s="302">
        <f t="array" ref="M33">[1]!CIP1072P265F2200</f>
        <v>0</v>
      </c>
      <c r="N33" s="207">
        <f t="shared" ref="N33:N38" si="4">SUM(H33:L33)</f>
        <v>0</v>
      </c>
      <c r="O33" s="303" t="str">
        <f t="shared" ref="O33:O39" si="5">IF(M33=0," ",(N33-M33)/M33)</f>
        <v xml:space="preserve"> </v>
      </c>
      <c r="P33" s="213">
        <v>14</v>
      </c>
    </row>
    <row r="34" spans="1:16">
      <c r="A34" s="53"/>
      <c r="C34" t="s">
        <v>215</v>
      </c>
      <c r="E34" s="215">
        <v>15</v>
      </c>
      <c r="F34" s="301">
        <f t="array" ref="F34">[1]!CIP1072P265F2300PPL</f>
        <v>0</v>
      </c>
      <c r="G34" s="11"/>
      <c r="H34" s="9"/>
      <c r="I34" s="9"/>
      <c r="J34" s="9"/>
      <c r="K34" s="9"/>
      <c r="L34" s="9"/>
      <c r="M34" s="284">
        <f t="array" ref="M34">[1]!CIP1072P265F2300</f>
        <v>0</v>
      </c>
      <c r="N34" s="214">
        <f t="shared" si="4"/>
        <v>0</v>
      </c>
      <c r="O34" s="305" t="str">
        <f t="shared" si="5"/>
        <v xml:space="preserve"> </v>
      </c>
      <c r="P34" s="213">
        <v>15</v>
      </c>
    </row>
    <row r="35" spans="1:16">
      <c r="A35" s="53"/>
      <c r="C35" t="s">
        <v>216</v>
      </c>
      <c r="E35" s="215">
        <v>16</v>
      </c>
      <c r="F35" s="301">
        <f t="array" ref="F35">[1]!CIP1072P265F2400PPL</f>
        <v>0</v>
      </c>
      <c r="G35" s="11"/>
      <c r="H35" s="9"/>
      <c r="I35" s="9"/>
      <c r="J35" s="9"/>
      <c r="K35" s="9"/>
      <c r="L35" s="9"/>
      <c r="M35" s="284">
        <f t="array" ref="M35">[1]!CIP1072P265F2400</f>
        <v>0</v>
      </c>
      <c r="N35" s="214">
        <f t="shared" si="4"/>
        <v>0</v>
      </c>
      <c r="O35" s="305" t="str">
        <f t="shared" si="5"/>
        <v xml:space="preserve"> </v>
      </c>
      <c r="P35" s="213">
        <v>16</v>
      </c>
    </row>
    <row r="36" spans="1:16">
      <c r="A36" s="53"/>
      <c r="C36" t="s">
        <v>217</v>
      </c>
      <c r="E36" s="215">
        <v>17</v>
      </c>
      <c r="F36" s="301">
        <f t="array" ref="F36">[1]!CIP1072P265F2500PPL</f>
        <v>0</v>
      </c>
      <c r="G36" s="11"/>
      <c r="H36" s="9"/>
      <c r="I36" s="9"/>
      <c r="J36" s="9"/>
      <c r="K36" s="9"/>
      <c r="L36" s="9"/>
      <c r="M36" s="284">
        <f t="array" ref="M36">[1]!CIP1072P265F2500</f>
        <v>0</v>
      </c>
      <c r="N36" s="214">
        <f t="shared" si="4"/>
        <v>0</v>
      </c>
      <c r="O36" s="305" t="str">
        <f t="shared" si="5"/>
        <v xml:space="preserve"> </v>
      </c>
      <c r="P36" s="213">
        <v>17</v>
      </c>
    </row>
    <row r="37" spans="1:16">
      <c r="A37" s="53"/>
      <c r="C37" t="s">
        <v>218</v>
      </c>
      <c r="E37" s="215">
        <v>18</v>
      </c>
      <c r="F37" s="304">
        <f t="array" ref="F37">[1]!CIP1072P265F2600PPL</f>
        <v>0</v>
      </c>
      <c r="G37" s="12"/>
      <c r="H37" s="8"/>
      <c r="I37" s="8"/>
      <c r="J37" s="8"/>
      <c r="K37" s="8"/>
      <c r="L37" s="8"/>
      <c r="M37" s="284">
        <f t="array" ref="M37">[1]!CIP1072P265F2600</f>
        <v>0</v>
      </c>
      <c r="N37" s="214">
        <f t="shared" si="4"/>
        <v>0</v>
      </c>
      <c r="O37" s="305" t="str">
        <f t="shared" si="5"/>
        <v xml:space="preserve"> </v>
      </c>
      <c r="P37" s="213">
        <v>18</v>
      </c>
    </row>
    <row r="38" spans="1:16">
      <c r="A38" s="53"/>
      <c r="C38" t="s">
        <v>219</v>
      </c>
      <c r="E38" s="215">
        <v>19</v>
      </c>
      <c r="F38" s="301">
        <f t="array" ref="F38">[1]!CIP1072P265F2900PPL</f>
        <v>0</v>
      </c>
      <c r="G38" s="13"/>
      <c r="H38" s="7"/>
      <c r="I38" s="7"/>
      <c r="J38" s="7"/>
      <c r="K38" s="7"/>
      <c r="L38" s="7"/>
      <c r="M38" s="284">
        <f t="array" ref="M38">[1]!CIP1072P265F2900</f>
        <v>0</v>
      </c>
      <c r="N38" s="214">
        <f t="shared" si="4"/>
        <v>0</v>
      </c>
      <c r="O38" s="305" t="str">
        <f t="shared" si="5"/>
        <v xml:space="preserve"> </v>
      </c>
      <c r="P38" s="213">
        <v>19</v>
      </c>
    </row>
    <row r="39" spans="1:16">
      <c r="A39" s="402"/>
      <c r="B39" s="403" t="s">
        <v>226</v>
      </c>
      <c r="C39" s="403"/>
      <c r="D39" s="403"/>
      <c r="E39" s="217">
        <v>20</v>
      </c>
      <c r="F39" s="299">
        <f>SUM(F29:F38)</f>
        <v>0</v>
      </c>
      <c r="G39" s="301">
        <f t="shared" ref="G39:L39" si="6">SUM(G28:G38)</f>
        <v>0</v>
      </c>
      <c r="H39" s="207">
        <f t="shared" si="6"/>
        <v>0</v>
      </c>
      <c r="I39" s="207">
        <f t="shared" si="6"/>
        <v>0</v>
      </c>
      <c r="J39" s="207">
        <f t="shared" si="6"/>
        <v>0</v>
      </c>
      <c r="K39" s="207">
        <f t="shared" si="6"/>
        <v>0</v>
      </c>
      <c r="L39" s="207">
        <f t="shared" si="6"/>
        <v>0</v>
      </c>
      <c r="M39" s="218">
        <f>SUM(M29:M38)</f>
        <v>0</v>
      </c>
      <c r="N39" s="218">
        <f>SUM(N29:N38)</f>
        <v>0</v>
      </c>
      <c r="O39" s="306" t="str">
        <f t="shared" si="5"/>
        <v xml:space="preserve"> </v>
      </c>
      <c r="P39" s="211">
        <v>20</v>
      </c>
    </row>
    <row r="40" spans="1:16">
      <c r="A40" s="53"/>
      <c r="B40" t="s">
        <v>227</v>
      </c>
      <c r="E40" s="391"/>
      <c r="F40" s="206"/>
      <c r="G40" s="298"/>
      <c r="H40" s="203"/>
      <c r="I40" s="203"/>
      <c r="J40" s="203"/>
      <c r="K40" s="203"/>
      <c r="L40" s="204"/>
      <c r="M40" s="206"/>
      <c r="N40" s="206"/>
      <c r="O40" s="206"/>
      <c r="P40" s="211"/>
    </row>
    <row r="41" spans="1:16">
      <c r="A41" s="53"/>
      <c r="C41" t="s">
        <v>86</v>
      </c>
      <c r="E41" s="391"/>
      <c r="F41" s="299"/>
      <c r="G41" s="300"/>
      <c r="H41" s="218"/>
      <c r="I41" s="218"/>
      <c r="J41" s="218"/>
      <c r="K41" s="218"/>
      <c r="L41" s="209"/>
      <c r="M41" s="218"/>
      <c r="N41" s="218"/>
      <c r="O41" s="210"/>
      <c r="P41" s="211"/>
    </row>
    <row r="42" spans="1:16">
      <c r="A42" s="53"/>
      <c r="C42" t="s">
        <v>222</v>
      </c>
      <c r="E42" s="391">
        <v>21</v>
      </c>
      <c r="F42" s="301">
        <f t="array" ref="F42">[1]!CIP1072P435F2700PPL</f>
        <v>0</v>
      </c>
      <c r="G42" s="23"/>
      <c r="H42" s="7"/>
      <c r="I42" s="7"/>
      <c r="J42" s="7"/>
      <c r="K42" s="7"/>
      <c r="L42" s="22"/>
      <c r="M42" s="207">
        <f t="array" ref="M42">[1]!CIP1072P435F2700</f>
        <v>0</v>
      </c>
      <c r="N42" s="207">
        <f>SUM(H40:L42)</f>
        <v>0</v>
      </c>
      <c r="O42" s="212" t="str">
        <f>IF(M42=0," ",(N42-M42)/M42)</f>
        <v xml:space="preserve"> </v>
      </c>
      <c r="P42" s="211">
        <v>21</v>
      </c>
    </row>
    <row r="43" spans="1:16">
      <c r="A43" s="75" t="s">
        <v>228</v>
      </c>
      <c r="B43" s="227"/>
      <c r="C43" s="227"/>
      <c r="D43" s="227"/>
      <c r="E43" s="282">
        <v>22</v>
      </c>
      <c r="F43" s="301">
        <f>SUM(F39:F42)</f>
        <v>0</v>
      </c>
      <c r="G43" s="301">
        <f t="shared" ref="G43:L43" si="7">SUM(G39:G42)</f>
        <v>0</v>
      </c>
      <c r="H43" s="214">
        <f t="shared" si="7"/>
        <v>0</v>
      </c>
      <c r="I43" s="214">
        <f t="shared" si="7"/>
        <v>0</v>
      </c>
      <c r="J43" s="214">
        <f t="shared" si="7"/>
        <v>0</v>
      </c>
      <c r="K43" s="214">
        <f t="shared" si="7"/>
        <v>0</v>
      </c>
      <c r="L43" s="214">
        <f t="shared" si="7"/>
        <v>0</v>
      </c>
      <c r="M43" s="207">
        <f>SUM(M39:M42)</f>
        <v>0</v>
      </c>
      <c r="N43" s="207">
        <f>SUM(N39:N42)</f>
        <v>0</v>
      </c>
      <c r="O43" s="212" t="str">
        <f>IF(M43=0," ",(N43-M43)/M43)</f>
        <v xml:space="preserve"> </v>
      </c>
      <c r="P43" s="213">
        <v>22</v>
      </c>
    </row>
  </sheetData>
  <sheetProtection sheet="1" objects="1" scenarios="1"/>
  <mergeCells count="5">
    <mergeCell ref="D1:F1"/>
    <mergeCell ref="J1:K1"/>
    <mergeCell ref="N1:O1"/>
    <mergeCell ref="D3:D4"/>
    <mergeCell ref="A4:C4"/>
  </mergeCells>
  <hyperlinks>
    <hyperlink ref="B7:D7" r:id="rId1" display="Structured English Immersion Project - 1071"/>
    <hyperlink ref="A7:D7" r:id="rId2" display="Structured English Immersion Project - 1071"/>
    <hyperlink ref="A28:D28" location="Pg4CompensatoryInstructionProj" display="Compensatory Instruction Project - 1072"/>
    <hyperlink ref="A7:F7" location="Pg4EnglishLanguageLearnerProj" display="Structured English Language Learner Immersion Project - 1071"/>
    <hyperlink ref="A4" location="Pg4EnglishLanguageLearnerProj" display="Instructions"/>
  </hyperlinks>
  <printOptions horizontalCentered="1" verticalCentered="1"/>
  <pageMargins left="0.75" right="0.5" top="0.25" bottom="0.25" header="0" footer="0"/>
  <pageSetup paperSize="5" scale="76" orientation="landscape" r:id="rId3"/>
  <headerFooter>
    <oddFooter>&amp;L&amp;"Arial,Bold"Rev. 5/25 Arizona Department of Education and Auditor General&amp;R&amp;"Arial,Bold"Page 4 of 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5"/>
  <sheetViews>
    <sheetView showGridLines="0" topLeftCell="D10" workbookViewId="0">
      <selection activeCell="H40" sqref="H40:K40"/>
    </sheetView>
  </sheetViews>
  <sheetFormatPr defaultColWidth="9" defaultRowHeight="12.75"/>
  <cols>
    <col min="1" max="2" width="1.5703125" style="126" customWidth="1"/>
    <col min="3" max="3" width="42" style="126" customWidth="1"/>
    <col min="4" max="5" width="12.5703125" style="126" customWidth="1"/>
    <col min="6" max="6" width="11.85546875" style="126" customWidth="1"/>
    <col min="7" max="7" width="4.5703125" style="126" customWidth="1"/>
    <col min="8" max="8" width="27.42578125" style="126" customWidth="1"/>
    <col min="9" max="9" width="5.42578125" style="126" customWidth="1"/>
    <col min="10" max="10" width="12.5703125" style="126" customWidth="1"/>
    <col min="11" max="11" width="13.5703125" style="126" customWidth="1"/>
    <col min="12" max="12" width="12.5703125" style="126" customWidth="1"/>
    <col min="13" max="13" width="9.5703125" style="126" customWidth="1"/>
    <col min="14" max="19" width="9" style="126" customWidth="1"/>
    <col min="20" max="16384" width="9" style="126"/>
  </cols>
  <sheetData>
    <row r="1" spans="1:15" ht="23.25" customHeight="1">
      <c r="A1" s="480" t="str">
        <f>IF(OR(BudgetVersion="Proposed",BudgetVersion=""),"FY 2026 Summary of charter school proposed budget",IF(BudgetVersion="Adopted","FY 2026 Summary of charter school adopted budget","FY 2026 Summary of charter school revised budget"))</f>
        <v>FY 2026 Summary of charter school adopted budget</v>
      </c>
      <c r="B1" s="480"/>
      <c r="C1" s="480"/>
      <c r="D1" s="480"/>
      <c r="E1" s="480"/>
      <c r="F1" s="480"/>
      <c r="G1" s="480"/>
      <c r="H1" s="480"/>
      <c r="I1" s="480"/>
      <c r="J1" s="480"/>
      <c r="K1" s="5" t="s">
        <v>2</v>
      </c>
      <c r="L1" s="309" t="str">
        <f>CTD</f>
        <v>078528000</v>
      </c>
      <c r="N1" s="511" t="s">
        <v>543</v>
      </c>
      <c r="O1" s="511"/>
    </row>
    <row r="2" spans="1:15" ht="3.75" customHeight="1"/>
    <row r="3" spans="1:15" ht="12" customHeight="1">
      <c r="A3" s="287" t="s">
        <v>229</v>
      </c>
      <c r="B3" s="310"/>
      <c r="C3" s="310"/>
      <c r="D3" s="529" t="s">
        <v>68</v>
      </c>
      <c r="E3" s="530"/>
      <c r="F3" s="311" t="s">
        <v>74</v>
      </c>
      <c r="H3" s="520" t="str">
        <f>CONCATENATE("The budget of ",IF(Cover!$D$3=0,Cover!$D$1,(CONCATENATE(Cover!$D$1," (d.b.a. ",Cover!$D$3,")")))," for fiscal year 2026 was officially proposed by the Governing Board on ",TEXT(Cover!$F$21,"mmmm dd, yyyy"),". The complete budget may be reviewed by contacting ",Cover!$O$15," at ",Cover!$M$16," or ",Cover!$P$16,".")</f>
        <v>The budget of Freedom Academy Inc for fiscal year 2026 was officially proposed by the Governing Board on June 24, 2025. The complete budget may be reviewed by contacting Christina Narsi at 6024240771 or christy@christynarsi.com.</v>
      </c>
      <c r="I3" s="521"/>
      <c r="J3" s="521"/>
      <c r="K3" s="521"/>
      <c r="L3" s="521"/>
      <c r="M3" s="522"/>
    </row>
    <row r="4" spans="1:15" ht="12" customHeight="1">
      <c r="A4" s="312"/>
      <c r="D4" s="273" t="s">
        <v>196</v>
      </c>
      <c r="E4" s="273" t="s">
        <v>197</v>
      </c>
      <c r="F4" s="313" t="s">
        <v>81</v>
      </c>
      <c r="H4" s="523"/>
      <c r="I4" s="524"/>
      <c r="J4" s="524"/>
      <c r="K4" s="524"/>
      <c r="L4" s="524"/>
      <c r="M4" s="525"/>
    </row>
    <row r="5" spans="1:15" ht="12" customHeight="1">
      <c r="A5" s="312" t="s">
        <v>84</v>
      </c>
      <c r="D5" s="202">
        <v>2025</v>
      </c>
      <c r="E5" s="202">
        <v>2026</v>
      </c>
      <c r="F5" s="314" t="s">
        <v>83</v>
      </c>
      <c r="H5" s="523"/>
      <c r="I5" s="524"/>
      <c r="J5" s="524"/>
      <c r="K5" s="524"/>
      <c r="L5" s="524"/>
      <c r="M5" s="525"/>
    </row>
    <row r="6" spans="1:15" ht="12" customHeight="1">
      <c r="A6" s="312"/>
      <c r="B6" s="126" t="s">
        <v>85</v>
      </c>
      <c r="D6" s="315">
        <f>SP1000P100F1000CY</f>
        <v>1054837</v>
      </c>
      <c r="E6" s="315">
        <f>SP1000P100F1000</f>
        <v>939394</v>
      </c>
      <c r="F6" s="316">
        <f>IF(D6=0," ",(E6-D6)/D6)</f>
        <v>-0.109</v>
      </c>
      <c r="H6" s="523"/>
      <c r="I6" s="524"/>
      <c r="J6" s="524"/>
      <c r="K6" s="524"/>
      <c r="L6" s="524"/>
      <c r="M6" s="525"/>
    </row>
    <row r="7" spans="1:15" ht="12" customHeight="1">
      <c r="A7" s="312"/>
      <c r="B7" s="126" t="s">
        <v>86</v>
      </c>
      <c r="D7" s="317"/>
      <c r="E7" s="318"/>
      <c r="F7" s="317"/>
      <c r="H7" s="526"/>
      <c r="I7" s="527"/>
      <c r="J7" s="527"/>
      <c r="K7" s="527"/>
      <c r="L7" s="527"/>
      <c r="M7" s="528"/>
    </row>
    <row r="8" spans="1:15" ht="12" customHeight="1">
      <c r="A8" s="312"/>
      <c r="C8" s="126" t="s">
        <v>230</v>
      </c>
      <c r="D8" s="315">
        <f>SP1000P100F2100CY</f>
        <v>138440</v>
      </c>
      <c r="E8" s="319">
        <f>SP1000P100F2100</f>
        <v>51265</v>
      </c>
      <c r="F8" s="212">
        <f>IF(D8=0," ",(E8-D8)/D8)</f>
        <v>-0.63</v>
      </c>
      <c r="H8" s="320"/>
      <c r="I8" s="320"/>
      <c r="J8" s="320"/>
      <c r="K8" s="320"/>
    </row>
    <row r="9" spans="1:15" ht="12" customHeight="1">
      <c r="A9" s="312"/>
      <c r="C9" s="126" t="s">
        <v>231</v>
      </c>
      <c r="D9" s="321">
        <f>SP1000P100F2200CY</f>
        <v>6944</v>
      </c>
      <c r="E9" s="321">
        <f>SP1000P100F2200</f>
        <v>30422</v>
      </c>
      <c r="F9" s="210">
        <f>IF(D9=0," ",(E9-D9)/D9)</f>
        <v>3.3809999999999998</v>
      </c>
      <c r="H9" s="318"/>
      <c r="I9" s="310"/>
      <c r="J9" s="322"/>
      <c r="K9" s="531" t="s">
        <v>68</v>
      </c>
      <c r="L9" s="532"/>
      <c r="M9" s="311" t="s">
        <v>74</v>
      </c>
    </row>
    <row r="10" spans="1:15" ht="12" customHeight="1">
      <c r="A10" s="312"/>
      <c r="C10" s="126" t="s">
        <v>232</v>
      </c>
      <c r="D10" s="321">
        <f>SP1000P100F2300CY</f>
        <v>115</v>
      </c>
      <c r="E10" s="321">
        <f>SP1000P100F2300</f>
        <v>0</v>
      </c>
      <c r="F10" s="316">
        <f t="shared" ref="F10:F21" si="0">IF(D10=0," ",(E10-D10)/D10)</f>
        <v>-1</v>
      </c>
      <c r="H10" s="323" t="s">
        <v>233</v>
      </c>
      <c r="I10" s="324"/>
      <c r="J10" s="325"/>
      <c r="K10" s="273" t="s">
        <v>196</v>
      </c>
      <c r="L10" s="273" t="s">
        <v>197</v>
      </c>
      <c r="M10" s="313" t="s">
        <v>81</v>
      </c>
    </row>
    <row r="11" spans="1:15" ht="12" customHeight="1">
      <c r="A11" s="312"/>
      <c r="C11" s="126" t="s">
        <v>234</v>
      </c>
      <c r="D11" s="321">
        <f>SP1000P100F2400CY</f>
        <v>489562</v>
      </c>
      <c r="E11" s="321">
        <f>SP1000P100F2400</f>
        <v>518272</v>
      </c>
      <c r="F11" s="316">
        <f t="shared" si="0"/>
        <v>5.8999999999999997E-2</v>
      </c>
      <c r="H11" s="326"/>
      <c r="I11" s="327"/>
      <c r="J11" s="328"/>
      <c r="K11" s="202">
        <v>2025</v>
      </c>
      <c r="L11" s="202">
        <v>2026</v>
      </c>
      <c r="M11" s="314" t="s">
        <v>83</v>
      </c>
    </row>
    <row r="12" spans="1:15" ht="12" customHeight="1">
      <c r="A12" s="312"/>
      <c r="C12" s="126" t="s">
        <v>235</v>
      </c>
      <c r="D12" s="321">
        <f>SP1000P100F2500CY</f>
        <v>31</v>
      </c>
      <c r="E12" s="321">
        <f>SP1000P100F2500</f>
        <v>325211</v>
      </c>
      <c r="F12" s="316">
        <f t="shared" si="0"/>
        <v>10489.677</v>
      </c>
      <c r="H12" s="82" t="s">
        <v>119</v>
      </c>
      <c r="I12" s="5"/>
      <c r="J12" s="91"/>
      <c r="K12" s="315">
        <f>'Page 2'!M5</f>
        <v>176162</v>
      </c>
      <c r="L12" s="315">
        <f>'Page 2'!N5</f>
        <v>158141</v>
      </c>
      <c r="M12" s="316">
        <f t="shared" ref="M12:M19" si="1">IF(K12=0," ",(L12-K12)/K12)</f>
        <v>-0.10199999999999999</v>
      </c>
    </row>
    <row r="13" spans="1:15" ht="12" customHeight="1">
      <c r="A13" s="312"/>
      <c r="C13" s="126" t="s">
        <v>236</v>
      </c>
      <c r="D13" s="321">
        <f>SP1000P100F2600CY</f>
        <v>276210</v>
      </c>
      <c r="E13" s="321">
        <f>SP1000P100F2600</f>
        <v>290667</v>
      </c>
      <c r="F13" s="316">
        <f t="shared" si="0"/>
        <v>5.1999999999999998E-2</v>
      </c>
      <c r="H13" s="82" t="s">
        <v>121</v>
      </c>
      <c r="I13" s="5"/>
      <c r="J13" s="91"/>
      <c r="K13" s="315">
        <f>P200GiftedEducationCY</f>
        <v>0</v>
      </c>
      <c r="L13" s="321">
        <f>P200GiftedEducation</f>
        <v>0</v>
      </c>
      <c r="M13" s="316" t="str">
        <f t="shared" si="1"/>
        <v xml:space="preserve"> </v>
      </c>
    </row>
    <row r="14" spans="1:15" ht="12" customHeight="1">
      <c r="A14" s="312"/>
      <c r="C14" s="126" t="s">
        <v>237</v>
      </c>
      <c r="D14" s="321">
        <f>SP1000P100F2900CY</f>
        <v>40185</v>
      </c>
      <c r="E14" s="321">
        <f>SP1000P100F2900</f>
        <v>43718</v>
      </c>
      <c r="F14" s="316">
        <f t="shared" si="0"/>
        <v>8.7999999999999995E-2</v>
      </c>
      <c r="H14" s="82" t="s">
        <v>123</v>
      </c>
      <c r="I14" s="5"/>
      <c r="J14" s="91"/>
      <c r="K14" s="315">
        <f>P200ELLIncrementalCostsCY</f>
        <v>0</v>
      </c>
      <c r="L14" s="321">
        <f>P200ELLIncrementalCosts</f>
        <v>0</v>
      </c>
      <c r="M14" s="316" t="str">
        <f t="shared" si="1"/>
        <v xml:space="preserve"> </v>
      </c>
    </row>
    <row r="15" spans="1:15" ht="12" customHeight="1">
      <c r="A15" s="312"/>
      <c r="B15" s="126" t="s">
        <v>94</v>
      </c>
      <c r="D15" s="321">
        <f>SP1000P100F3000CY</f>
        <v>63405</v>
      </c>
      <c r="E15" s="321">
        <f>SP1000P100F3000</f>
        <v>113882</v>
      </c>
      <c r="F15" s="316">
        <f t="shared" si="0"/>
        <v>0.79600000000000004</v>
      </c>
      <c r="H15" s="82" t="s">
        <v>125</v>
      </c>
      <c r="I15" s="5"/>
      <c r="J15" s="91"/>
      <c r="K15" s="321">
        <f>P200ELLCompensatoryInstructionCY</f>
        <v>0</v>
      </c>
      <c r="L15" s="321">
        <f>P200ELLCompensatoryInstruction</f>
        <v>0</v>
      </c>
      <c r="M15" s="316" t="str">
        <f t="shared" si="1"/>
        <v xml:space="preserve"> </v>
      </c>
    </row>
    <row r="16" spans="1:15" ht="12" customHeight="1">
      <c r="A16" s="312"/>
      <c r="B16" s="126" t="s">
        <v>95</v>
      </c>
      <c r="D16" s="321">
        <f>SP1000P100F4000CY</f>
        <v>0</v>
      </c>
      <c r="E16" s="321">
        <f>SP1000P100F4000</f>
        <v>0</v>
      </c>
      <c r="F16" s="316" t="str">
        <f t="shared" si="0"/>
        <v xml:space="preserve"> </v>
      </c>
      <c r="H16" s="82" t="s">
        <v>127</v>
      </c>
      <c r="I16" s="5"/>
      <c r="J16" s="91"/>
      <c r="K16" s="321">
        <f>P200RemedialEducationCY</f>
        <v>0</v>
      </c>
      <c r="L16" s="321">
        <f>P200RemedialEducation</f>
        <v>0</v>
      </c>
      <c r="M16" s="316" t="str">
        <f t="shared" si="1"/>
        <v xml:space="preserve"> </v>
      </c>
    </row>
    <row r="17" spans="1:13" ht="12" customHeight="1">
      <c r="A17" s="312"/>
      <c r="B17" s="126" t="s">
        <v>96</v>
      </c>
      <c r="D17" s="321">
        <f>SP1000P100F5000CY</f>
        <v>293244</v>
      </c>
      <c r="E17" s="321">
        <f>SP1000P100F5000</f>
        <v>130000</v>
      </c>
      <c r="F17" s="316">
        <f t="shared" si="0"/>
        <v>-0.55700000000000005</v>
      </c>
      <c r="H17" s="82" t="s">
        <v>129</v>
      </c>
      <c r="I17" s="5"/>
      <c r="J17" s="91"/>
      <c r="K17" s="321">
        <f>P200VocationalandTechnologicalEdCY</f>
        <v>0</v>
      </c>
      <c r="L17" s="321">
        <f>P200VocationalandTechnologicalEd</f>
        <v>0</v>
      </c>
      <c r="M17" s="316" t="str">
        <f t="shared" si="1"/>
        <v xml:space="preserve"> </v>
      </c>
    </row>
    <row r="18" spans="1:13" ht="12" customHeight="1">
      <c r="A18" s="312" t="s">
        <v>97</v>
      </c>
      <c r="D18" s="321">
        <f>SP1000P610CY</f>
        <v>29571</v>
      </c>
      <c r="E18" s="321">
        <f>SP1000P610</f>
        <v>9076</v>
      </c>
      <c r="F18" s="316">
        <f t="shared" si="0"/>
        <v>-0.69299999999999995</v>
      </c>
      <c r="H18" s="82" t="s">
        <v>131</v>
      </c>
      <c r="I18" s="5"/>
      <c r="J18" s="91"/>
      <c r="K18" s="329">
        <f>P200CareerEducationCY</f>
        <v>0</v>
      </c>
      <c r="L18" s="329">
        <f>P200CareerEducation</f>
        <v>0</v>
      </c>
      <c r="M18" s="316" t="str">
        <f t="shared" si="1"/>
        <v xml:space="preserve"> </v>
      </c>
    </row>
    <row r="19" spans="1:13" ht="12" customHeight="1">
      <c r="A19" s="312" t="s">
        <v>98</v>
      </c>
      <c r="D19" s="321">
        <f>SP1000P620CY</f>
        <v>33</v>
      </c>
      <c r="E19" s="321">
        <f>SP1000P620</f>
        <v>26358</v>
      </c>
      <c r="F19" s="316">
        <f t="shared" si="0"/>
        <v>797.72699999999998</v>
      </c>
      <c r="H19" s="533" t="s">
        <v>238</v>
      </c>
      <c r="I19" s="501"/>
      <c r="J19" s="501"/>
      <c r="K19" s="321">
        <f>SUM(K12:K18)</f>
        <v>176162</v>
      </c>
      <c r="L19" s="321">
        <f>SUM(L12:L18)</f>
        <v>158141</v>
      </c>
      <c r="M19" s="220">
        <f t="shared" si="1"/>
        <v>-0.10199999999999999</v>
      </c>
    </row>
    <row r="20" spans="1:13" ht="12" customHeight="1">
      <c r="A20" s="312" t="s">
        <v>99</v>
      </c>
      <c r="D20" s="321">
        <f>SP1000P630700800900CY</f>
        <v>7893</v>
      </c>
      <c r="E20" s="321">
        <f>SP1000P630700800900</f>
        <v>5988</v>
      </c>
      <c r="F20" s="316">
        <f t="shared" si="0"/>
        <v>-0.24099999999999999</v>
      </c>
      <c r="H20" s="330"/>
      <c r="I20" s="330"/>
      <c r="K20" s="331"/>
      <c r="L20" s="331"/>
      <c r="M20" s="222"/>
    </row>
    <row r="21" spans="1:13" ht="12" customHeight="1">
      <c r="A21" s="332"/>
      <c r="B21" s="333" t="s">
        <v>239</v>
      </c>
      <c r="C21" s="328"/>
      <c r="D21" s="321">
        <f>SUM(D6:D20)</f>
        <v>2400470</v>
      </c>
      <c r="E21" s="321">
        <f>SUM(E6:E20)</f>
        <v>2484253</v>
      </c>
      <c r="F21" s="316">
        <f t="shared" si="0"/>
        <v>3.5000000000000003E-2</v>
      </c>
      <c r="H21" s="516" t="s">
        <v>240</v>
      </c>
      <c r="I21" s="517"/>
      <c r="J21" s="517"/>
      <c r="K21" s="517"/>
      <c r="L21" s="518"/>
      <c r="M21" s="222"/>
    </row>
    <row r="22" spans="1:13" ht="12" customHeight="1">
      <c r="A22" s="312" t="s">
        <v>101</v>
      </c>
      <c r="D22" s="317"/>
      <c r="E22" s="318"/>
      <c r="F22" s="317"/>
      <c r="H22" s="312"/>
      <c r="J22" s="535" t="s">
        <v>68</v>
      </c>
      <c r="K22" s="536"/>
      <c r="L22" s="313" t="s">
        <v>74</v>
      </c>
      <c r="M22" s="222"/>
    </row>
    <row r="23" spans="1:13" ht="12" customHeight="1">
      <c r="A23" s="312"/>
      <c r="B23" s="126" t="s">
        <v>85</v>
      </c>
      <c r="D23" s="334">
        <f>SP1000P200F1000CY</f>
        <v>87001</v>
      </c>
      <c r="E23" s="335">
        <f>SP1000P200F1000</f>
        <v>79213</v>
      </c>
      <c r="F23" s="212">
        <f>IF(D23=0," ",(E23-D23)/D23)</f>
        <v>-0.09</v>
      </c>
      <c r="H23" s="312"/>
      <c r="J23" s="273" t="s">
        <v>196</v>
      </c>
      <c r="K23" s="273" t="s">
        <v>197</v>
      </c>
      <c r="L23" s="313" t="s">
        <v>81</v>
      </c>
      <c r="M23" s="222"/>
    </row>
    <row r="24" spans="1:13" ht="12" customHeight="1">
      <c r="A24" s="312"/>
      <c r="B24" s="126" t="s">
        <v>86</v>
      </c>
      <c r="D24" s="317"/>
      <c r="E24" s="317"/>
      <c r="F24" s="210"/>
      <c r="H24" s="336"/>
      <c r="J24" s="202">
        <v>2025</v>
      </c>
      <c r="K24" s="202">
        <v>2026</v>
      </c>
      <c r="L24" s="314" t="s">
        <v>83</v>
      </c>
      <c r="M24" s="222"/>
    </row>
    <row r="25" spans="1:13" ht="12" customHeight="1">
      <c r="A25" s="312"/>
      <c r="C25" s="126" t="s">
        <v>230</v>
      </c>
      <c r="D25" s="315">
        <f>SP1000P200F2100CY</f>
        <v>89161</v>
      </c>
      <c r="E25" s="315">
        <f>SP1000P200F2100</f>
        <v>78928</v>
      </c>
      <c r="F25" s="212">
        <f t="shared" ref="F25:F41" si="2">IF(D25=0," ",(E25-D25)/D25)</f>
        <v>-0.115</v>
      </c>
      <c r="H25" s="337" t="s">
        <v>241</v>
      </c>
      <c r="I25" s="338"/>
      <c r="J25" s="315">
        <f>SP1000TotalCY</f>
        <v>2602021</v>
      </c>
      <c r="K25" s="315">
        <f>SP1000Total</f>
        <v>2695071</v>
      </c>
      <c r="L25" s="220">
        <f>IF(J25=0," ",(K25-J25)/J25)</f>
        <v>3.5999999999999997E-2</v>
      </c>
      <c r="M25" s="222"/>
    </row>
    <row r="26" spans="1:13" ht="12" customHeight="1">
      <c r="A26" s="312"/>
      <c r="C26" s="126" t="s">
        <v>231</v>
      </c>
      <c r="D26" s="315">
        <f>SP1000P200F2200CY</f>
        <v>0</v>
      </c>
      <c r="E26" s="315">
        <f>SP1000P200F2200</f>
        <v>0</v>
      </c>
      <c r="F26" s="210" t="str">
        <f t="shared" si="2"/>
        <v xml:space="preserve"> </v>
      </c>
      <c r="H26" s="75" t="s">
        <v>242</v>
      </c>
      <c r="I26" s="338"/>
      <c r="J26" s="321">
        <f>SP1000ClassSiteProjCY</f>
        <v>262330</v>
      </c>
      <c r="K26" s="321">
        <f>SP1000ClassSiteProj</f>
        <v>230371</v>
      </c>
      <c r="L26" s="220">
        <f t="shared" ref="L26:L33" si="3">IF(J26=0," ",(K26-J26)/J26)</f>
        <v>-0.122</v>
      </c>
      <c r="M26" s="222"/>
    </row>
    <row r="27" spans="1:13" ht="12" customHeight="1">
      <c r="A27" s="312"/>
      <c r="C27" s="126" t="s">
        <v>232</v>
      </c>
      <c r="D27" s="315">
        <f>SP1000P200F2300CY</f>
        <v>0</v>
      </c>
      <c r="E27" s="315">
        <f>SP1000P200F2300</f>
        <v>0</v>
      </c>
      <c r="F27" s="316" t="str">
        <f t="shared" si="2"/>
        <v xml:space="preserve"> </v>
      </c>
      <c r="H27" s="75" t="s">
        <v>243</v>
      </c>
      <c r="I27" s="338"/>
      <c r="J27" s="321">
        <f>SP1000InstrImpProjCY</f>
        <v>11869</v>
      </c>
      <c r="K27" s="321">
        <f>SP1000InstrImpProj</f>
        <v>19989</v>
      </c>
      <c r="L27" s="220">
        <f t="shared" si="3"/>
        <v>0.68400000000000005</v>
      </c>
      <c r="M27" s="222"/>
    </row>
    <row r="28" spans="1:13" ht="12" customHeight="1">
      <c r="A28" s="312"/>
      <c r="C28" s="126" t="s">
        <v>234</v>
      </c>
      <c r="D28" s="315">
        <f>SP1000P200F2400CY</f>
        <v>0</v>
      </c>
      <c r="E28" s="315">
        <f>SP1000P200F2400</f>
        <v>0</v>
      </c>
      <c r="F28" s="316" t="str">
        <f t="shared" si="2"/>
        <v xml:space="preserve"> </v>
      </c>
      <c r="H28" s="75" t="s">
        <v>244</v>
      </c>
      <c r="I28" s="338"/>
      <c r="J28" s="321">
        <f>SP1000StruEngImmProjCY</f>
        <v>0</v>
      </c>
      <c r="K28" s="321">
        <f>SP1000StruEngImmProj</f>
        <v>0</v>
      </c>
      <c r="L28" s="220" t="str">
        <f t="shared" si="3"/>
        <v xml:space="preserve"> </v>
      </c>
      <c r="M28" s="222"/>
    </row>
    <row r="29" spans="1:13" ht="12" customHeight="1">
      <c r="A29" s="312"/>
      <c r="C29" s="126" t="s">
        <v>235</v>
      </c>
      <c r="D29" s="315">
        <f>SP1000P200F2500CY</f>
        <v>0</v>
      </c>
      <c r="E29" s="315">
        <f>SP1000P200F2500</f>
        <v>0</v>
      </c>
      <c r="F29" s="316" t="str">
        <f t="shared" si="2"/>
        <v xml:space="preserve"> </v>
      </c>
      <c r="H29" s="75" t="s">
        <v>245</v>
      </c>
      <c r="I29" s="338"/>
      <c r="J29" s="321">
        <f>SP1000CompInstrProjCY</f>
        <v>0</v>
      </c>
      <c r="K29" s="321">
        <f>SP1000CompInstrProj</f>
        <v>0</v>
      </c>
      <c r="L29" s="220" t="str">
        <f t="shared" si="3"/>
        <v xml:space="preserve"> </v>
      </c>
      <c r="M29" s="222"/>
    </row>
    <row r="30" spans="1:13" ht="12" customHeight="1">
      <c r="A30" s="312"/>
      <c r="C30" s="126" t="s">
        <v>236</v>
      </c>
      <c r="D30" s="315">
        <f>SP1000P200F2600CY</f>
        <v>0</v>
      </c>
      <c r="E30" s="315">
        <f>SP1000P200F2600</f>
        <v>0</v>
      </c>
      <c r="F30" s="316" t="str">
        <f t="shared" si="2"/>
        <v xml:space="preserve"> </v>
      </c>
      <c r="H30" s="75" t="s">
        <v>246</v>
      </c>
      <c r="I30" s="338"/>
      <c r="J30" s="321">
        <f>TotalFederalProjectsCY</f>
        <v>141451</v>
      </c>
      <c r="K30" s="321">
        <f>TotalFederalProjects</f>
        <v>101776</v>
      </c>
      <c r="L30" s="220">
        <f t="shared" si="3"/>
        <v>-0.28000000000000003</v>
      </c>
      <c r="M30" s="222"/>
    </row>
    <row r="31" spans="1:13" ht="12" customHeight="1">
      <c r="A31" s="312"/>
      <c r="C31" s="126" t="s">
        <v>237</v>
      </c>
      <c r="D31" s="315">
        <f>SP1000P200F2900CY</f>
        <v>0</v>
      </c>
      <c r="E31" s="315">
        <f>SP1000P200F2900</f>
        <v>0</v>
      </c>
      <c r="F31" s="316" t="str">
        <f t="shared" si="2"/>
        <v xml:space="preserve"> </v>
      </c>
      <c r="H31" s="75" t="s">
        <v>247</v>
      </c>
      <c r="I31" s="338"/>
      <c r="J31" s="321">
        <f>TotalStateProjectsCY</f>
        <v>0</v>
      </c>
      <c r="K31" s="321">
        <f>TotalStateProjects</f>
        <v>0</v>
      </c>
      <c r="L31" s="220" t="str">
        <f t="shared" si="3"/>
        <v xml:space="preserve"> </v>
      </c>
      <c r="M31" s="222"/>
    </row>
    <row r="32" spans="1:13" ht="12" customHeight="1">
      <c r="A32" s="312"/>
      <c r="B32" s="126" t="s">
        <v>94</v>
      </c>
      <c r="D32" s="315">
        <f>SP1000P200F3000CY</f>
        <v>0</v>
      </c>
      <c r="E32" s="315">
        <f>SP1000P200F3000</f>
        <v>0</v>
      </c>
      <c r="F32" s="316" t="str">
        <f t="shared" si="2"/>
        <v xml:space="preserve"> </v>
      </c>
      <c r="H32" s="75" t="s">
        <v>185</v>
      </c>
      <c r="I32" s="338"/>
      <c r="J32" s="321">
        <f>TotalCapitalAcquisitionsCY</f>
        <v>213000</v>
      </c>
      <c r="K32" s="321">
        <f>TotalCapitalAcquisitions</f>
        <v>20000</v>
      </c>
      <c r="L32" s="220">
        <f t="shared" si="3"/>
        <v>-0.90600000000000003</v>
      </c>
      <c r="M32" s="222"/>
    </row>
    <row r="33" spans="1:14" ht="12" customHeight="1">
      <c r="A33" s="312"/>
      <c r="B33" s="126" t="s">
        <v>95</v>
      </c>
      <c r="D33" s="315">
        <f>SP1000P200F4000CY</f>
        <v>0</v>
      </c>
      <c r="E33" s="315">
        <f>SP1000P200F4000</f>
        <v>0</v>
      </c>
      <c r="F33" s="316" t="str">
        <f t="shared" si="2"/>
        <v xml:space="preserve"> </v>
      </c>
      <c r="H33" s="75" t="s">
        <v>248</v>
      </c>
      <c r="I33" s="338"/>
      <c r="J33" s="321">
        <f>SUM(J25:J32)</f>
        <v>3230671</v>
      </c>
      <c r="K33" s="321">
        <f>SUM(K25:K32)</f>
        <v>3067207</v>
      </c>
      <c r="L33" s="220">
        <f t="shared" si="3"/>
        <v>-5.0999999999999997E-2</v>
      </c>
    </row>
    <row r="34" spans="1:14" ht="12" customHeight="1">
      <c r="A34" s="312"/>
      <c r="B34" s="126" t="s">
        <v>96</v>
      </c>
      <c r="D34" s="315">
        <f>SP1000P200F5000CY</f>
        <v>0</v>
      </c>
      <c r="E34" s="315">
        <f>SP1000P200F5000</f>
        <v>0</v>
      </c>
      <c r="F34" s="316" t="str">
        <f t="shared" si="2"/>
        <v xml:space="preserve"> </v>
      </c>
    </row>
    <row r="35" spans="1:14" ht="12" customHeight="1">
      <c r="A35" s="312"/>
      <c r="B35" s="126" t="s">
        <v>249</v>
      </c>
      <c r="C35" s="325"/>
      <c r="D35" s="329">
        <f>SUM(D23:D34)</f>
        <v>176162</v>
      </c>
      <c r="E35" s="329">
        <f>SUM(E23:E34)</f>
        <v>158141</v>
      </c>
      <c r="F35" s="316">
        <f t="shared" si="2"/>
        <v>-0.10199999999999999</v>
      </c>
      <c r="H35" s="519" t="s">
        <v>250</v>
      </c>
      <c r="I35" s="519"/>
      <c r="J35" s="519"/>
      <c r="K35" s="519"/>
      <c r="L35" s="519"/>
      <c r="M35" s="537" t="str">
        <f>IF(L37&lt;1,"Enter average salary on the budget Cover","")</f>
        <v/>
      </c>
      <c r="N35" s="339"/>
    </row>
    <row r="36" spans="1:14" ht="0.75" customHeight="1">
      <c r="A36" s="332" t="s">
        <v>251</v>
      </c>
      <c r="B36" s="333"/>
      <c r="C36" s="328"/>
      <c r="D36" s="315"/>
      <c r="E36" s="315"/>
      <c r="F36" s="212"/>
      <c r="J36" s="340"/>
      <c r="K36" s="340"/>
      <c r="L36" s="340"/>
      <c r="M36" s="537"/>
      <c r="N36" s="339"/>
    </row>
    <row r="37" spans="1:14" ht="12" customHeight="1">
      <c r="A37" s="337" t="s">
        <v>104</v>
      </c>
      <c r="B37" s="338"/>
      <c r="C37" s="341"/>
      <c r="D37" s="321">
        <f>SP1000P400CY</f>
        <v>6139</v>
      </c>
      <c r="E37" s="321">
        <f>SP1000P400</f>
        <v>35041</v>
      </c>
      <c r="F37" s="220">
        <f t="shared" si="2"/>
        <v>4.7080000000000002</v>
      </c>
      <c r="H37" s="534" t="s">
        <v>501</v>
      </c>
      <c r="I37" s="534"/>
      <c r="J37" s="534"/>
      <c r="K37" s="534"/>
      <c r="L37" s="214">
        <f>BudgetYearSalary</f>
        <v>50789</v>
      </c>
      <c r="M37" s="537"/>
      <c r="N37" s="339"/>
    </row>
    <row r="38" spans="1:14" ht="12" customHeight="1">
      <c r="A38" s="337" t="s">
        <v>105</v>
      </c>
      <c r="B38" s="338"/>
      <c r="C38" s="341"/>
      <c r="D38" s="321">
        <f>SP1000P530CY</f>
        <v>0</v>
      </c>
      <c r="E38" s="321">
        <f>SP1000P530</f>
        <v>0</v>
      </c>
      <c r="F38" s="220" t="str">
        <f t="shared" si="2"/>
        <v xml:space="preserve"> </v>
      </c>
      <c r="H38" s="534" t="s">
        <v>502</v>
      </c>
      <c r="I38" s="534"/>
      <c r="J38" s="534"/>
      <c r="K38" s="534"/>
      <c r="L38" s="214">
        <f>PriorYearSalary</f>
        <v>49214</v>
      </c>
      <c r="M38" s="537"/>
      <c r="N38" s="339"/>
    </row>
    <row r="39" spans="1:14" ht="12" customHeight="1">
      <c r="A39" s="337" t="s">
        <v>252</v>
      </c>
      <c r="B39" s="338"/>
      <c r="C39" s="341"/>
      <c r="D39" s="321">
        <f>SP1000P540CY</f>
        <v>0</v>
      </c>
      <c r="E39" s="321">
        <f>SP1000P540</f>
        <v>0</v>
      </c>
      <c r="F39" s="220" t="str">
        <f t="shared" si="2"/>
        <v xml:space="preserve"> </v>
      </c>
      <c r="H39" s="534" t="s">
        <v>503</v>
      </c>
      <c r="I39" s="534"/>
      <c r="J39" s="534"/>
      <c r="K39" s="534"/>
      <c r="L39" s="214">
        <f>SalaryIncreaseFromPriorYear</f>
        <v>1575</v>
      </c>
      <c r="M39" s="537"/>
      <c r="N39" s="339"/>
    </row>
    <row r="40" spans="1:14" ht="12" customHeight="1">
      <c r="A40" s="332" t="s">
        <v>107</v>
      </c>
      <c r="B40" s="333"/>
      <c r="C40" s="328"/>
      <c r="D40" s="321">
        <f>SP1000P550CY</f>
        <v>19250</v>
      </c>
      <c r="E40" s="321">
        <f>SP1000P550</f>
        <v>17636</v>
      </c>
      <c r="F40" s="220">
        <f t="shared" si="2"/>
        <v>-8.4000000000000005E-2</v>
      </c>
      <c r="H40" s="534" t="s">
        <v>253</v>
      </c>
      <c r="I40" s="534"/>
      <c r="J40" s="534"/>
      <c r="K40" s="534"/>
      <c r="L40" s="305">
        <f>SalaryPercentageIncrease</f>
        <v>3.2000000000000001E-2</v>
      </c>
      <c r="M40" s="537"/>
      <c r="N40" s="339"/>
    </row>
    <row r="41" spans="1:14" ht="12" customHeight="1">
      <c r="A41" s="332"/>
      <c r="B41" s="333"/>
      <c r="C41" s="328" t="s">
        <v>238</v>
      </c>
      <c r="D41" s="315">
        <f>SUM(D35:D40)+D21</f>
        <v>2602021</v>
      </c>
      <c r="E41" s="315">
        <f>SUM(E35:E40)+E21</f>
        <v>2695071</v>
      </c>
      <c r="F41" s="220">
        <f t="shared" si="2"/>
        <v>3.5999999999999997E-2</v>
      </c>
      <c r="H41" s="538" t="str">
        <f>IF(AverageSalaryCalculationComment&lt;&gt;"",AverageSalaryCalculationComment,"")</f>
        <v>Comments on average salary calculation (optional):</v>
      </c>
      <c r="I41" s="539"/>
      <c r="J41" s="539"/>
      <c r="K41" s="539"/>
      <c r="L41" s="540"/>
      <c r="M41" s="537"/>
    </row>
    <row r="42" spans="1:14" ht="12" customHeight="1">
      <c r="D42" s="331"/>
      <c r="E42" s="331"/>
      <c r="F42" s="222"/>
      <c r="H42" s="541"/>
      <c r="I42" s="542"/>
      <c r="J42" s="542"/>
      <c r="K42" s="542"/>
      <c r="L42" s="543"/>
      <c r="M42" s="537"/>
    </row>
    <row r="43" spans="1:14" ht="12" customHeight="1">
      <c r="H43" s="541"/>
      <c r="I43" s="542"/>
      <c r="J43" s="542"/>
      <c r="K43" s="542"/>
      <c r="L43" s="543"/>
      <c r="M43" s="537"/>
    </row>
    <row r="44" spans="1:14" ht="12" customHeight="1">
      <c r="H44" s="541"/>
      <c r="I44" s="542"/>
      <c r="J44" s="542"/>
      <c r="K44" s="542"/>
      <c r="L44" s="543"/>
      <c r="M44" s="537"/>
    </row>
    <row r="45" spans="1:14" ht="12" customHeight="1">
      <c r="H45" s="541"/>
      <c r="I45" s="542"/>
      <c r="J45" s="542"/>
      <c r="K45" s="542"/>
      <c r="L45" s="543"/>
      <c r="M45" s="537"/>
    </row>
    <row r="46" spans="1:14" ht="12" customHeight="1">
      <c r="H46" s="541"/>
      <c r="I46" s="542"/>
      <c r="J46" s="542"/>
      <c r="K46" s="542"/>
      <c r="L46" s="543"/>
      <c r="M46" s="342"/>
    </row>
    <row r="47" spans="1:14" ht="12" customHeight="1">
      <c r="H47" s="544"/>
      <c r="I47" s="545"/>
      <c r="J47" s="545"/>
      <c r="K47" s="545"/>
      <c r="L47" s="546"/>
      <c r="M47" s="342"/>
    </row>
    <row r="48" spans="1:14" ht="12.75" customHeight="1"/>
    <row r="49" spans="8:8" ht="12.75" customHeight="1"/>
    <row r="50" spans="8:8" ht="12.75" customHeight="1"/>
    <row r="51" spans="8:8" ht="12.75" customHeight="1"/>
    <row r="52" spans="8:8" ht="12.75" customHeight="1"/>
    <row r="53" spans="8:8" ht="12.75" customHeight="1">
      <c r="H53" s="343"/>
    </row>
    <row r="54" spans="8:8" ht="12.75" customHeight="1"/>
    <row r="55" spans="8:8" ht="12.75" customHeight="1"/>
  </sheetData>
  <mergeCells count="15">
    <mergeCell ref="H39:K39"/>
    <mergeCell ref="H40:K40"/>
    <mergeCell ref="J22:K22"/>
    <mergeCell ref="H37:K37"/>
    <mergeCell ref="M35:M45"/>
    <mergeCell ref="H38:K38"/>
    <mergeCell ref="H41:L47"/>
    <mergeCell ref="N1:O1"/>
    <mergeCell ref="H21:L21"/>
    <mergeCell ref="H35:L35"/>
    <mergeCell ref="A1:J1"/>
    <mergeCell ref="H3:M7"/>
    <mergeCell ref="D3:E3"/>
    <mergeCell ref="K9:L9"/>
    <mergeCell ref="H19:J19"/>
  </mergeCells>
  <hyperlinks>
    <hyperlink ref="N1" location="BudgetSummary" display="Instructions"/>
  </hyperlinks>
  <printOptions horizontalCentered="1" verticalCentered="1"/>
  <pageMargins left="0.75" right="0.5" top="0.25" bottom="0.25" header="0" footer="0"/>
  <pageSetup paperSize="5" scale="76" orientation="landscape" r:id="rId1"/>
  <headerFooter>
    <oddFooter>&amp;L&amp;"Arial,Bold"Rev.5/25 Arizona Department of Education and Auditor General&amp;R&amp;"Arial,Bold"Budget Summary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showGridLines="0" topLeftCell="A7" workbookViewId="0">
      <selection activeCell="C18" sqref="C18"/>
    </sheetView>
  </sheetViews>
  <sheetFormatPr defaultColWidth="8" defaultRowHeight="12.75"/>
  <cols>
    <col min="1" max="1" width="13.5703125" customWidth="1"/>
    <col min="2" max="2" width="107.42578125" customWidth="1"/>
    <col min="3" max="5" width="15.5703125" customWidth="1"/>
    <col min="6" max="6" width="19.42578125" customWidth="1"/>
    <col min="7" max="7" width="15.5703125" customWidth="1"/>
    <col min="8" max="8" width="17.5703125" customWidth="1"/>
    <col min="9" max="9" width="8" customWidth="1"/>
  </cols>
  <sheetData>
    <row r="1" spans="1:8" s="413" customFormat="1">
      <c r="A1" s="412" t="s">
        <v>0</v>
      </c>
      <c r="B1" s="433" t="str">
        <f>CharterName</f>
        <v>Freedom Academy Inc</v>
      </c>
      <c r="D1" s="412" t="s">
        <v>1</v>
      </c>
      <c r="E1" s="434" t="str">
        <f>Cover!M1</f>
        <v>Maricopa</v>
      </c>
      <c r="F1" s="414"/>
      <c r="G1" s="412" t="s">
        <v>2</v>
      </c>
      <c r="H1" s="415" t="str">
        <f>CTD</f>
        <v>078528000</v>
      </c>
    </row>
    <row r="2" spans="1:8" s="413" customFormat="1">
      <c r="B2" s="412"/>
      <c r="C2" s="416"/>
      <c r="D2" s="416"/>
      <c r="E2" s="416"/>
      <c r="G2" s="412"/>
      <c r="H2" s="416"/>
    </row>
    <row r="3" spans="1:8" s="417" customFormat="1" ht="25.5" customHeight="1">
      <c r="A3" s="547" t="s">
        <v>514</v>
      </c>
      <c r="B3" s="547"/>
      <c r="C3" s="547"/>
      <c r="D3" s="547"/>
      <c r="E3" s="547"/>
      <c r="F3" s="547"/>
      <c r="G3" s="547"/>
      <c r="H3" s="547"/>
    </row>
    <row r="4" spans="1:8" s="417" customFormat="1" ht="16.5" customHeight="1">
      <c r="A4" s="418"/>
      <c r="B4" s="418"/>
      <c r="C4" s="458" t="s">
        <v>543</v>
      </c>
      <c r="D4" s="418"/>
      <c r="E4" s="418"/>
      <c r="F4" s="418"/>
      <c r="G4" s="418"/>
      <c r="H4" s="418"/>
    </row>
    <row r="5" spans="1:8">
      <c r="A5" s="548" t="s">
        <v>504</v>
      </c>
      <c r="B5" s="548"/>
      <c r="C5" s="344"/>
    </row>
    <row r="6" spans="1:8">
      <c r="A6" s="344"/>
      <c r="B6" s="344"/>
      <c r="C6" s="419" t="s">
        <v>254</v>
      </c>
    </row>
    <row r="7" spans="1:8" ht="8.25" customHeight="1">
      <c r="A7" s="420"/>
      <c r="B7" s="344"/>
      <c r="C7" s="421"/>
    </row>
    <row r="8" spans="1:8">
      <c r="A8" s="422" t="s">
        <v>5</v>
      </c>
      <c r="B8" s="244" t="s">
        <v>505</v>
      </c>
      <c r="C8" s="423">
        <v>3204888</v>
      </c>
    </row>
    <row r="9" spans="1:8" ht="15" customHeight="1">
      <c r="A9" s="424"/>
      <c r="B9" s="446" t="s">
        <v>515</v>
      </c>
      <c r="C9" s="426"/>
    </row>
    <row r="10" spans="1:8">
      <c r="A10" s="427"/>
      <c r="B10" s="344"/>
      <c r="C10" s="421"/>
    </row>
    <row r="11" spans="1:8">
      <c r="A11" s="422" t="s">
        <v>8</v>
      </c>
      <c r="B11" s="161" t="s">
        <v>513</v>
      </c>
      <c r="C11" s="344"/>
    </row>
    <row r="12" spans="1:8">
      <c r="A12" s="422"/>
      <c r="B12" s="244" t="s">
        <v>506</v>
      </c>
      <c r="C12" s="423">
        <v>3003330</v>
      </c>
    </row>
    <row r="13" spans="1:8">
      <c r="A13" s="422"/>
      <c r="B13" s="244" t="s">
        <v>507</v>
      </c>
      <c r="C13" s="423">
        <v>3458349</v>
      </c>
    </row>
    <row r="14" spans="1:8">
      <c r="A14" s="422"/>
      <c r="B14" s="425"/>
      <c r="C14" s="428"/>
    </row>
    <row r="15" spans="1:8">
      <c r="A15" s="422" t="s">
        <v>150</v>
      </c>
      <c r="B15" s="161" t="s">
        <v>512</v>
      </c>
      <c r="C15" s="429">
        <f>C8+C12-C13</f>
        <v>2749869</v>
      </c>
    </row>
    <row r="16" spans="1:8">
      <c r="A16" s="430"/>
      <c r="B16" s="441" t="s">
        <v>464</v>
      </c>
      <c r="C16" s="423">
        <v>453932</v>
      </c>
    </row>
    <row r="17" spans="1:8">
      <c r="A17" s="430"/>
      <c r="B17" s="441" t="s">
        <v>465</v>
      </c>
      <c r="C17" s="423">
        <f>+C15-C16</f>
        <v>2295937</v>
      </c>
    </row>
    <row r="18" spans="1:8">
      <c r="A18" s="430"/>
      <c r="B18" t="s">
        <v>256</v>
      </c>
      <c r="C18" s="429">
        <f>C16+C17</f>
        <v>2749869</v>
      </c>
    </row>
    <row r="19" spans="1:8">
      <c r="A19" s="422"/>
      <c r="B19" s="420"/>
      <c r="C19" s="431"/>
    </row>
    <row r="20" spans="1:8">
      <c r="A20" s="422" t="s">
        <v>153</v>
      </c>
      <c r="B20" s="161" t="s">
        <v>511</v>
      </c>
      <c r="C20" s="431"/>
    </row>
    <row r="21" spans="1:8">
      <c r="A21" s="422"/>
      <c r="B21" s="441" t="s">
        <v>257</v>
      </c>
      <c r="C21" s="423">
        <v>0</v>
      </c>
    </row>
    <row r="22" spans="1:8">
      <c r="A22" s="422"/>
      <c r="B22" s="445" t="s">
        <v>508</v>
      </c>
      <c r="C22" s="423">
        <f>+C18</f>
        <v>2749869</v>
      </c>
    </row>
    <row r="23" spans="1:8">
      <c r="A23" s="422"/>
      <c r="B23" s="445" t="s">
        <v>509</v>
      </c>
      <c r="C23" s="423">
        <v>0</v>
      </c>
    </row>
    <row r="24" spans="1:8">
      <c r="A24" s="422"/>
      <c r="B24" s="244" t="s">
        <v>510</v>
      </c>
      <c r="C24" s="423">
        <v>0</v>
      </c>
    </row>
    <row r="25" spans="1:8">
      <c r="A25" s="432"/>
      <c r="B25" s="344" t="s">
        <v>467</v>
      </c>
      <c r="C25" s="429">
        <f>SUM(C21:C24)</f>
        <v>2749869</v>
      </c>
    </row>
    <row r="26" spans="1:8">
      <c r="A26" s="430"/>
      <c r="B26" s="344"/>
    </row>
    <row r="27" spans="1:8">
      <c r="A27" s="430"/>
      <c r="B27" s="344"/>
      <c r="C27" s="344"/>
    </row>
    <row r="28" spans="1:8" ht="14.25" customHeight="1">
      <c r="A28" s="422" t="s">
        <v>156</v>
      </c>
      <c r="B28" s="441" t="s">
        <v>258</v>
      </c>
      <c r="C28" s="344"/>
      <c r="D28" s="395"/>
      <c r="E28" s="395"/>
      <c r="F28" s="395"/>
      <c r="G28" s="395"/>
      <c r="H28" s="395"/>
    </row>
    <row r="29" spans="1:8">
      <c r="A29" s="549"/>
      <c r="B29" s="550"/>
      <c r="C29" s="551"/>
    </row>
    <row r="30" spans="1:8">
      <c r="A30" s="552"/>
      <c r="B30" s="553"/>
      <c r="C30" s="554"/>
    </row>
    <row r="31" spans="1:8">
      <c r="A31" s="552"/>
      <c r="B31" s="553"/>
      <c r="C31" s="554"/>
    </row>
    <row r="32" spans="1:8">
      <c r="A32" s="552"/>
      <c r="B32" s="553"/>
      <c r="C32" s="554"/>
    </row>
    <row r="33" spans="1:3">
      <c r="A33" s="552"/>
      <c r="B33" s="553"/>
      <c r="C33" s="554"/>
    </row>
    <row r="34" spans="1:3">
      <c r="A34" s="552"/>
      <c r="B34" s="553"/>
      <c r="C34" s="554"/>
    </row>
    <row r="35" spans="1:3">
      <c r="A35" s="555"/>
      <c r="B35" s="556"/>
      <c r="C35" s="557"/>
    </row>
  </sheetData>
  <sheetProtection sheet="1" objects="1" scenarios="1"/>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formula1>9</formula1>
    </dataValidation>
  </dataValidations>
  <hyperlinks>
    <hyperlink ref="B8" location="ProjectBalancesLine1" display="FY 2024 final ending project balance"/>
    <hyperlink ref="B12" location="ProjectBalancesLine2a" display="(a) FY 2025 revenues"/>
    <hyperlink ref="B13" location="ProjectBalancesLine2b" display="(b) FY 2025 expenses, indirect costs, reversions, capital acquisitions, and redemption of principal"/>
    <hyperlink ref="B16" location="ProjectBalancesLine3a" display="(a) With donor restrictions/Restricted"/>
    <hyperlink ref="B17" location="ProjectBalancesLine3b" display="(b) Without donor restrictions/Unrestricted"/>
    <hyperlink ref="B21" location="ProjectBalancesLine4a" display="(a) Deficit balance"/>
    <hyperlink ref="B22" location="ProjectBalancesLine4b" display="(b) Planned to be spent in FY 2026 "/>
    <hyperlink ref="B23" location="ProjectBalancesLine4c" display="(c) Planned to be spent in FY 2026 to support operations of other school sites within the same charter management organization"/>
    <hyperlink ref="B24" location="ProjectBalancesLine4d" display="(d) Maintained for spending after FY 2026"/>
    <hyperlink ref="B28" location="ProjectBalancesLine5" display="Comments (optional)"/>
    <hyperlink ref="C4" location="ProjectBalancesLine1" display="Instructions"/>
  </hyperlinks>
  <pageMargins left="0.7" right="0.7" top="0.75" bottom="0.75" header="0.3" footer="0.3"/>
  <pageSetup paperSize="5" scale="60" orientation="landscape" r:id="rId1"/>
  <headerFooter>
    <oddFooter>&amp;LRev. 5/25 Arizona Department of Education and Auditor General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26"/>
  <sheetViews>
    <sheetView showGridLines="0" tabSelected="1" topLeftCell="A94" zoomScaleNormal="100" workbookViewId="0">
      <selection activeCell="M121" sqref="M121"/>
    </sheetView>
  </sheetViews>
  <sheetFormatPr defaultColWidth="9" defaultRowHeight="12.75"/>
  <cols>
    <col min="1" max="1" width="3.42578125" customWidth="1"/>
    <col min="2" max="2" width="3.85546875" customWidth="1"/>
    <col min="3" max="3" width="5.42578125" customWidth="1"/>
    <col min="4" max="4" width="6.42578125" customWidth="1"/>
    <col min="5" max="5" width="31" customWidth="1"/>
    <col min="6" max="6" width="1.5703125" customWidth="1"/>
    <col min="7" max="7" width="12.5703125" customWidth="1"/>
    <col min="8" max="8" width="1.5703125" customWidth="1"/>
    <col min="9" max="10" width="12.5703125" customWidth="1"/>
    <col min="11" max="11" width="1.5703125" customWidth="1"/>
    <col min="12" max="12" width="10.5703125" customWidth="1"/>
    <col min="13" max="15" width="12.5703125" customWidth="1"/>
    <col min="16" max="19" width="10.5703125" customWidth="1"/>
    <col min="20" max="20" width="9" customWidth="1"/>
  </cols>
  <sheetData>
    <row r="1" spans="1:16">
      <c r="A1" t="s">
        <v>0</v>
      </c>
      <c r="B1" s="344"/>
      <c r="C1" s="344"/>
      <c r="D1" s="344"/>
      <c r="E1" s="345" t="str">
        <f>CharterName</f>
        <v>Freedom Academy Inc</v>
      </c>
      <c r="F1" s="346"/>
      <c r="G1" s="5"/>
      <c r="I1" s="5"/>
      <c r="K1" s="407" t="s">
        <v>1</v>
      </c>
      <c r="L1" s="408" t="str">
        <f>Cover!M1</f>
        <v>Maricopa</v>
      </c>
      <c r="M1" s="396"/>
      <c r="N1" s="4"/>
      <c r="O1" s="407" t="s">
        <v>2</v>
      </c>
      <c r="P1" s="397" t="str">
        <f>CTD</f>
        <v>078528000</v>
      </c>
    </row>
    <row r="2" spans="1:16" ht="24.75" customHeight="1"/>
    <row r="4" spans="1:16" ht="15.75">
      <c r="A4" s="588" t="s">
        <v>471</v>
      </c>
      <c r="B4" s="588"/>
      <c r="C4" s="588"/>
      <c r="D4" s="588"/>
      <c r="E4" s="588"/>
      <c r="F4" s="588"/>
      <c r="G4" s="588"/>
      <c r="H4" s="588"/>
      <c r="I4" s="588"/>
      <c r="J4" s="588"/>
      <c r="K4" s="588"/>
      <c r="L4" s="588"/>
      <c r="M4" s="588"/>
      <c r="N4" s="588"/>
    </row>
    <row r="5" spans="1:16">
      <c r="A5" s="589"/>
      <c r="B5" s="589"/>
      <c r="C5" s="589"/>
      <c r="E5" s="478" t="s">
        <v>42</v>
      </c>
      <c r="F5" s="478"/>
      <c r="G5" s="478"/>
    </row>
    <row r="6" spans="1:16">
      <c r="B6" s="145" t="s">
        <v>5</v>
      </c>
      <c r="C6" s="590" t="s">
        <v>44</v>
      </c>
      <c r="D6" s="590"/>
      <c r="E6" s="591"/>
      <c r="F6" s="594" t="s">
        <v>45</v>
      </c>
      <c r="G6" s="595"/>
      <c r="H6" s="595"/>
      <c r="I6" s="596"/>
    </row>
    <row r="8" spans="1:16">
      <c r="B8" s="145" t="s">
        <v>8</v>
      </c>
      <c r="C8" s="477" t="s">
        <v>47</v>
      </c>
      <c r="D8" s="477"/>
      <c r="E8" s="592"/>
      <c r="F8" s="597" t="s">
        <v>558</v>
      </c>
      <c r="G8" s="597"/>
      <c r="H8" s="597"/>
      <c r="I8" s="597"/>
    </row>
    <row r="10" spans="1:16">
      <c r="B10" s="145" t="s">
        <v>150</v>
      </c>
      <c r="C10" s="602" t="s">
        <v>50</v>
      </c>
      <c r="D10" s="602"/>
      <c r="E10" s="603"/>
      <c r="F10" s="598" t="s">
        <v>39</v>
      </c>
      <c r="G10" s="598"/>
      <c r="H10" s="598"/>
      <c r="I10" s="598"/>
    </row>
    <row r="11" spans="1:16">
      <c r="C11" s="602"/>
      <c r="D11" s="602"/>
      <c r="E11" s="603"/>
      <c r="F11" s="598"/>
      <c r="G11" s="598"/>
      <c r="H11" s="598"/>
      <c r="I11" s="598"/>
    </row>
    <row r="12" spans="1:16">
      <c r="C12" s="442"/>
      <c r="D12" s="442"/>
      <c r="E12" s="442"/>
    </row>
    <row r="13" spans="1:16" ht="206.25" customHeight="1">
      <c r="B13" s="443" t="s">
        <v>153</v>
      </c>
      <c r="C13" s="562" t="s">
        <v>470</v>
      </c>
      <c r="D13" s="562"/>
      <c r="E13" s="562"/>
      <c r="F13" s="562"/>
      <c r="G13" s="562"/>
      <c r="H13" s="562"/>
      <c r="I13" s="562"/>
      <c r="J13" s="562"/>
    </row>
    <row r="15" spans="1:16">
      <c r="B15" t="s">
        <v>477</v>
      </c>
      <c r="C15" s="477" t="s">
        <v>57</v>
      </c>
      <c r="D15" s="477"/>
      <c r="E15" s="592"/>
      <c r="F15" s="594" t="s">
        <v>462</v>
      </c>
      <c r="G15" s="595"/>
      <c r="H15" s="595"/>
      <c r="I15" s="596"/>
    </row>
    <row r="16" spans="1:16">
      <c r="C16" s="477" t="s">
        <v>59</v>
      </c>
      <c r="D16" s="477"/>
      <c r="E16" s="477"/>
    </row>
    <row r="17" spans="1:29">
      <c r="B17" s="145" t="s">
        <v>478</v>
      </c>
      <c r="C17" s="477" t="s">
        <v>61</v>
      </c>
      <c r="D17" s="477"/>
      <c r="E17" s="592"/>
      <c r="F17" s="599"/>
      <c r="G17" s="600"/>
      <c r="H17" s="600"/>
      <c r="I17" s="601"/>
    </row>
    <row r="18" spans="1:29">
      <c r="B18" s="145" t="s">
        <v>479</v>
      </c>
      <c r="C18" s="477" t="s">
        <v>62</v>
      </c>
      <c r="D18" s="477"/>
      <c r="E18" s="592"/>
      <c r="F18" s="597"/>
      <c r="G18" s="597"/>
      <c r="H18" s="597"/>
      <c r="I18" s="597"/>
    </row>
    <row r="19" spans="1:29">
      <c r="B19" s="145" t="s">
        <v>480</v>
      </c>
      <c r="C19" s="477" t="s">
        <v>63</v>
      </c>
      <c r="D19" s="477"/>
      <c r="E19" s="592"/>
      <c r="F19" s="599"/>
      <c r="G19" s="600"/>
      <c r="H19" s="600"/>
      <c r="I19" s="601"/>
    </row>
    <row r="20" spans="1:29">
      <c r="B20" s="145" t="s">
        <v>481</v>
      </c>
      <c r="C20" s="477" t="s">
        <v>64</v>
      </c>
      <c r="D20" s="477"/>
      <c r="E20" s="592"/>
      <c r="F20" s="599"/>
      <c r="G20" s="600"/>
      <c r="H20" s="600"/>
      <c r="I20" s="601"/>
    </row>
    <row r="21" spans="1:29">
      <c r="B21" s="145" t="s">
        <v>482</v>
      </c>
      <c r="C21" s="477" t="s">
        <v>65</v>
      </c>
      <c r="D21" s="477"/>
      <c r="E21" s="592"/>
      <c r="F21" s="599"/>
      <c r="G21" s="600"/>
      <c r="H21" s="600"/>
      <c r="I21" s="601"/>
    </row>
    <row r="22" spans="1:29">
      <c r="B22" s="145" t="s">
        <v>483</v>
      </c>
      <c r="C22" s="477" t="s">
        <v>14</v>
      </c>
      <c r="D22" s="477"/>
      <c r="E22" s="592"/>
      <c r="F22" s="599"/>
      <c r="G22" s="600"/>
      <c r="H22" s="600"/>
      <c r="I22" s="601"/>
    </row>
    <row r="23" spans="1:29">
      <c r="B23" s="145" t="s">
        <v>484</v>
      </c>
      <c r="C23" s="477" t="s">
        <v>66</v>
      </c>
      <c r="D23" s="477"/>
      <c r="E23" s="592"/>
      <c r="F23" s="597"/>
      <c r="G23" s="597"/>
      <c r="H23" s="597"/>
      <c r="I23" s="597"/>
    </row>
    <row r="25" spans="1:29" ht="15.75">
      <c r="A25" s="347" t="s">
        <v>259</v>
      </c>
      <c r="C25" s="175"/>
      <c r="D25" s="230"/>
      <c r="E25" s="94"/>
      <c r="F25" s="94"/>
      <c r="Q25" s="480"/>
      <c r="R25" s="480"/>
      <c r="S25" s="480"/>
      <c r="T25" s="480"/>
      <c r="U25" s="480"/>
      <c r="V25" s="480"/>
      <c r="W25" s="480"/>
      <c r="X25" s="480"/>
      <c r="Y25" s="480"/>
      <c r="Z25" s="480"/>
      <c r="AA25" s="480"/>
      <c r="AB25" s="480"/>
      <c r="AC25" s="480"/>
    </row>
    <row r="27" spans="1:29" s="146" customFormat="1" ht="114" customHeight="1">
      <c r="A27" s="348" t="str">
        <f>IF(B29="X","X",IF(B30="x","x",IF(B31="X","X",IF(B32="X","X",""))))</f>
        <v/>
      </c>
      <c r="B27" s="562" t="s">
        <v>260</v>
      </c>
      <c r="C27" s="562"/>
      <c r="D27" s="562"/>
      <c r="E27" s="562"/>
      <c r="F27" s="562"/>
      <c r="G27" s="562"/>
      <c r="H27" s="562"/>
      <c r="I27" s="562"/>
      <c r="J27" s="562"/>
      <c r="K27" s="562"/>
      <c r="L27" s="562"/>
      <c r="M27" s="562"/>
      <c r="N27" s="562"/>
      <c r="O27" s="349"/>
    </row>
    <row r="28" spans="1:29">
      <c r="J28" s="192"/>
      <c r="K28" s="192"/>
      <c r="L28" s="192"/>
      <c r="M28" s="519" t="s">
        <v>261</v>
      </c>
      <c r="N28" s="519"/>
    </row>
    <row r="29" spans="1:29" ht="38.25" customHeight="1">
      <c r="A29" s="230"/>
      <c r="B29" s="27"/>
      <c r="D29" s="572" t="s">
        <v>263</v>
      </c>
      <c r="E29" s="572"/>
      <c r="F29" s="572"/>
      <c r="G29" s="572"/>
      <c r="H29" s="572"/>
      <c r="I29" s="572"/>
      <c r="J29" s="572" t="str">
        <f>IF(B29&lt;&gt;"x","No additional information required","Please enter the name of the management company.")</f>
        <v>No additional information required</v>
      </c>
      <c r="K29" s="572"/>
      <c r="L29" s="572"/>
      <c r="M29" s="593"/>
      <c r="N29" s="593"/>
      <c r="O29" s="398"/>
      <c r="Q29" s="148" t="s">
        <v>262</v>
      </c>
    </row>
    <row r="30" spans="1:29" ht="39" customHeight="1" thickBot="1">
      <c r="A30" s="230"/>
      <c r="B30" s="28"/>
      <c r="D30" s="572" t="s">
        <v>264</v>
      </c>
      <c r="E30" s="572"/>
      <c r="F30" s="572"/>
      <c r="G30" s="572"/>
      <c r="H30" s="572"/>
      <c r="I30" s="572"/>
      <c r="J30" s="572" t="str">
        <f>IF(B30&lt;&gt;"x","No additional information required","Please enter the name of any other charter holder with identical membership.")</f>
        <v>No additional information required</v>
      </c>
      <c r="K30" s="572"/>
      <c r="L30" s="572"/>
      <c r="M30" s="593"/>
      <c r="N30" s="593"/>
      <c r="O30" s="398"/>
      <c r="Q30" s="148" t="s">
        <v>255</v>
      </c>
    </row>
    <row r="31" spans="1:29" ht="27.75" customHeight="1" thickBot="1">
      <c r="A31" s="230"/>
      <c r="B31" s="29"/>
      <c r="D31" s="572" t="s">
        <v>265</v>
      </c>
      <c r="E31" s="572"/>
      <c r="F31" s="572"/>
      <c r="G31" s="572"/>
      <c r="H31" s="572"/>
      <c r="I31" s="572"/>
      <c r="J31" s="572" t="str">
        <f>IF(B31&lt;&gt;"x","No additional information required","Please enter the name of the corporation.")</f>
        <v>No additional information required</v>
      </c>
      <c r="K31" s="572"/>
      <c r="L31" s="572"/>
      <c r="M31" s="593"/>
      <c r="N31" s="593"/>
      <c r="O31" s="398"/>
      <c r="Q31" s="148"/>
    </row>
    <row r="32" spans="1:29" ht="27.75" customHeight="1" thickBot="1">
      <c r="A32" s="230"/>
      <c r="B32" s="29"/>
      <c r="D32" s="576" t="s">
        <v>266</v>
      </c>
      <c r="E32" s="576"/>
      <c r="F32" s="576"/>
      <c r="G32" s="576"/>
      <c r="H32" s="576"/>
      <c r="I32" s="576"/>
      <c r="M32" s="4"/>
      <c r="N32" s="4"/>
      <c r="O32" s="4"/>
    </row>
    <row r="33" spans="1:16">
      <c r="A33" s="230"/>
      <c r="B33" s="230"/>
      <c r="C33" s="129"/>
      <c r="D33" s="129"/>
      <c r="E33" s="129"/>
      <c r="F33" s="129"/>
      <c r="G33" s="129"/>
      <c r="H33" s="129"/>
      <c r="I33" s="129"/>
      <c r="J33" s="129"/>
      <c r="K33" s="129"/>
      <c r="L33" s="129"/>
      <c r="M33" s="129"/>
      <c r="N33" s="129"/>
      <c r="O33" s="129"/>
    </row>
    <row r="34" spans="1:16">
      <c r="B34" s="94" t="s">
        <v>267</v>
      </c>
      <c r="C34" s="94"/>
      <c r="D34" s="94"/>
      <c r="E34" s="94"/>
    </row>
    <row r="35" spans="1:16" ht="80.25" customHeight="1">
      <c r="B35" s="562" t="s">
        <v>516</v>
      </c>
      <c r="C35" s="562"/>
      <c r="D35" s="562"/>
      <c r="E35" s="562"/>
      <c r="F35" s="562"/>
      <c r="G35" s="562"/>
      <c r="H35" s="562"/>
      <c r="I35" s="562"/>
      <c r="J35" s="562"/>
      <c r="K35" s="562"/>
      <c r="L35" s="562"/>
      <c r="M35" s="562"/>
      <c r="N35" s="562"/>
    </row>
    <row r="36" spans="1:16" ht="13.5" customHeight="1">
      <c r="B36" s="113"/>
      <c r="C36" s="113"/>
      <c r="D36" s="113"/>
      <c r="E36" s="113"/>
      <c r="F36" s="113"/>
      <c r="G36" s="113"/>
      <c r="H36" s="113"/>
      <c r="I36" s="113"/>
      <c r="J36" s="113"/>
      <c r="K36" s="113"/>
      <c r="L36" s="113"/>
      <c r="M36" s="113"/>
      <c r="N36" s="113"/>
    </row>
    <row r="37" spans="1:16">
      <c r="B37" s="612" t="s">
        <v>268</v>
      </c>
      <c r="C37" s="612"/>
      <c r="D37" s="612"/>
      <c r="E37" s="612"/>
      <c r="F37" s="512" t="s">
        <v>269</v>
      </c>
      <c r="G37" s="513"/>
      <c r="H37" s="512" t="s">
        <v>270</v>
      </c>
      <c r="I37" s="581"/>
      <c r="J37" s="513"/>
      <c r="K37" s="573" t="s">
        <v>271</v>
      </c>
      <c r="L37" s="574"/>
      <c r="M37" s="575"/>
    </row>
    <row r="38" spans="1:16">
      <c r="B38" s="613" t="s">
        <v>272</v>
      </c>
      <c r="C38" s="614"/>
      <c r="D38" s="614"/>
      <c r="E38" s="615"/>
      <c r="F38" s="611"/>
      <c r="G38" s="605"/>
      <c r="H38" s="350"/>
      <c r="I38" s="604">
        <v>200</v>
      </c>
      <c r="J38" s="605"/>
      <c r="K38" s="276"/>
      <c r="L38" s="604"/>
      <c r="M38" s="605"/>
      <c r="N38" s="192"/>
    </row>
    <row r="39" spans="1:16">
      <c r="B39" s="608" t="s">
        <v>273</v>
      </c>
      <c r="C39" s="609"/>
      <c r="D39" s="609"/>
      <c r="E39" s="610"/>
      <c r="F39" s="351"/>
      <c r="G39" s="352"/>
      <c r="H39" s="353" t="s">
        <v>274</v>
      </c>
      <c r="I39" s="586"/>
      <c r="J39" s="587"/>
      <c r="K39" s="394" t="s">
        <v>274</v>
      </c>
      <c r="L39" s="606"/>
      <c r="M39" s="607"/>
      <c r="N39" s="192"/>
    </row>
    <row r="40" spans="1:16">
      <c r="B40" s="608" t="s">
        <v>275</v>
      </c>
      <c r="C40" s="609"/>
      <c r="D40" s="609"/>
      <c r="E40" s="610"/>
      <c r="F40" s="351"/>
      <c r="G40" s="352"/>
      <c r="H40" s="353" t="s">
        <v>274</v>
      </c>
      <c r="I40" s="586"/>
      <c r="J40" s="587"/>
      <c r="K40" s="394" t="s">
        <v>274</v>
      </c>
      <c r="L40" s="606"/>
      <c r="M40" s="607"/>
    </row>
    <row r="41" spans="1:16">
      <c r="B41" s="569" t="s">
        <v>276</v>
      </c>
      <c r="C41" s="570"/>
      <c r="D41" s="570"/>
      <c r="E41" s="571"/>
      <c r="F41" s="75" t="s">
        <v>277</v>
      </c>
      <c r="G41" s="354">
        <f>F38</f>
        <v>0</v>
      </c>
      <c r="H41" s="402" t="s">
        <v>277</v>
      </c>
      <c r="I41" s="577">
        <f>I38+I39+I40</f>
        <v>200</v>
      </c>
      <c r="J41" s="578"/>
      <c r="K41" s="75" t="s">
        <v>277</v>
      </c>
      <c r="L41" s="577">
        <f>L38+L39+L40</f>
        <v>0</v>
      </c>
      <c r="M41" s="578"/>
    </row>
    <row r="43" spans="1:16">
      <c r="B43" s="94" t="s">
        <v>278</v>
      </c>
    </row>
    <row r="44" spans="1:16" ht="26.25" customHeight="1">
      <c r="B44" s="562" t="s">
        <v>279</v>
      </c>
      <c r="C44" s="562"/>
      <c r="D44" s="562"/>
      <c r="E44" s="562"/>
      <c r="F44" s="562"/>
      <c r="G44" s="562"/>
      <c r="H44" s="562"/>
      <c r="I44" s="562"/>
      <c r="J44" s="562"/>
      <c r="K44" s="562"/>
      <c r="L44" s="562"/>
      <c r="M44" s="562"/>
      <c r="N44" s="562"/>
    </row>
    <row r="45" spans="1:16">
      <c r="B45" s="355"/>
      <c r="C45" s="356"/>
      <c r="D45" s="356"/>
      <c r="E45" s="356"/>
      <c r="F45" s="356"/>
      <c r="G45" s="356"/>
      <c r="H45" s="356"/>
      <c r="I45" s="356"/>
      <c r="J45" s="356"/>
      <c r="K45" s="356"/>
      <c r="L45" s="356"/>
      <c r="M45" s="356"/>
    </row>
    <row r="46" spans="1:16">
      <c r="B46" s="401" t="s">
        <v>268</v>
      </c>
      <c r="C46" s="401"/>
      <c r="D46" s="401"/>
      <c r="E46" s="401"/>
      <c r="F46" s="512" t="s">
        <v>269</v>
      </c>
      <c r="G46" s="513"/>
      <c r="H46" s="512" t="s">
        <v>270</v>
      </c>
      <c r="I46" s="581"/>
      <c r="J46" s="513"/>
      <c r="K46" s="573" t="s">
        <v>271</v>
      </c>
      <c r="L46" s="574"/>
      <c r="M46" s="575"/>
    </row>
    <row r="47" spans="1:16">
      <c r="B47" s="402" t="s">
        <v>272</v>
      </c>
      <c r="C47" s="403"/>
      <c r="D47" s="404"/>
      <c r="F47" s="53"/>
      <c r="G47" s="33"/>
      <c r="I47" s="579"/>
      <c r="J47" s="580"/>
      <c r="K47" s="402"/>
      <c r="L47" s="579"/>
      <c r="M47" s="580"/>
      <c r="P47" s="5"/>
    </row>
    <row r="48" spans="1:16">
      <c r="B48" s="75" t="s">
        <v>273</v>
      </c>
      <c r="C48" s="227"/>
      <c r="D48" s="357"/>
      <c r="E48" s="358"/>
      <c r="F48" s="359"/>
      <c r="G48" s="360"/>
      <c r="H48" s="227" t="s">
        <v>274</v>
      </c>
      <c r="I48" s="586"/>
      <c r="J48" s="587"/>
      <c r="K48" s="75" t="s">
        <v>274</v>
      </c>
      <c r="L48" s="606"/>
      <c r="M48" s="607"/>
    </row>
    <row r="49" spans="1:21">
      <c r="B49" s="75" t="s">
        <v>275</v>
      </c>
      <c r="C49" s="227"/>
      <c r="D49" s="227"/>
      <c r="E49" s="361"/>
      <c r="F49" s="359"/>
      <c r="G49" s="360"/>
      <c r="H49" s="227" t="s">
        <v>274</v>
      </c>
      <c r="I49" s="586"/>
      <c r="J49" s="587"/>
      <c r="K49" s="75" t="s">
        <v>274</v>
      </c>
      <c r="L49" s="606"/>
      <c r="M49" s="607"/>
    </row>
    <row r="50" spans="1:21">
      <c r="B50" s="402" t="s">
        <v>276</v>
      </c>
      <c r="C50" s="403"/>
      <c r="D50" s="404"/>
      <c r="E50" s="402"/>
      <c r="F50" s="402" t="s">
        <v>277</v>
      </c>
      <c r="G50" s="354">
        <f>G47</f>
        <v>0</v>
      </c>
      <c r="H50" s="75" t="s">
        <v>277</v>
      </c>
      <c r="I50" s="577">
        <f>I47+I48+I49</f>
        <v>0</v>
      </c>
      <c r="J50" s="578"/>
      <c r="K50" s="75" t="s">
        <v>277</v>
      </c>
      <c r="L50" s="582">
        <f>L47+L48+L49</f>
        <v>0</v>
      </c>
      <c r="M50" s="583"/>
    </row>
    <row r="51" spans="1:21">
      <c r="B51" s="87"/>
    </row>
    <row r="52" spans="1:21">
      <c r="A52" s="362"/>
      <c r="B52" s="362"/>
      <c r="C52" s="363"/>
      <c r="D52" s="363"/>
      <c r="E52" s="364"/>
      <c r="F52" s="364"/>
      <c r="G52" s="363"/>
      <c r="H52" s="363"/>
      <c r="I52" s="365"/>
      <c r="K52" s="365"/>
    </row>
    <row r="53" spans="1:21" ht="15.75" customHeight="1">
      <c r="A53" s="366" t="s">
        <v>280</v>
      </c>
      <c r="C53" s="94"/>
      <c r="D53" s="94"/>
      <c r="E53" s="94"/>
      <c r="G53" s="367"/>
      <c r="H53" s="367"/>
      <c r="I53" s="367"/>
      <c r="J53" s="367"/>
      <c r="K53" s="367"/>
      <c r="L53" s="367"/>
      <c r="M53" s="367"/>
      <c r="N53" s="367"/>
      <c r="O53" s="367"/>
    </row>
    <row r="54" spans="1:21" ht="12.75" customHeight="1">
      <c r="A54" s="366"/>
      <c r="C54" s="94"/>
      <c r="D54" s="94"/>
      <c r="E54" s="94"/>
      <c r="G54" s="367"/>
      <c r="H54" s="367"/>
      <c r="I54" s="367"/>
      <c r="J54" s="367"/>
      <c r="K54" s="367"/>
      <c r="L54" s="367"/>
      <c r="M54" s="367"/>
      <c r="N54" s="367"/>
      <c r="O54" s="367"/>
    </row>
    <row r="55" spans="1:21" ht="12.75" customHeight="1">
      <c r="A55" s="366"/>
      <c r="B55" s="94" t="s">
        <v>281</v>
      </c>
      <c r="C55" s="94"/>
      <c r="D55" s="94"/>
      <c r="E55" s="94"/>
      <c r="G55" s="367"/>
      <c r="H55" s="367"/>
      <c r="I55" s="367"/>
      <c r="J55" s="367"/>
      <c r="K55" s="367"/>
      <c r="L55" s="367"/>
      <c r="M55" s="367"/>
      <c r="N55" s="367"/>
      <c r="O55" s="367"/>
    </row>
    <row r="56" spans="1:21" ht="137.25" customHeight="1">
      <c r="A56" s="94"/>
      <c r="B56" s="562" t="s">
        <v>282</v>
      </c>
      <c r="C56" s="562"/>
      <c r="D56" s="562"/>
      <c r="E56" s="562"/>
      <c r="F56" s="562"/>
      <c r="G56" s="562"/>
      <c r="H56" s="562"/>
      <c r="I56" s="562"/>
      <c r="J56" s="562"/>
      <c r="K56" s="562"/>
      <c r="L56" s="562"/>
      <c r="M56" s="562"/>
      <c r="N56" s="562"/>
      <c r="O56" s="367"/>
    </row>
    <row r="57" spans="1:21" ht="12.75" customHeight="1">
      <c r="A57" s="94"/>
      <c r="B57" s="395"/>
      <c r="C57" s="395"/>
      <c r="D57" s="395"/>
      <c r="E57" s="395"/>
      <c r="F57" s="395"/>
      <c r="G57" s="395"/>
      <c r="H57" s="395"/>
      <c r="I57" s="395"/>
      <c r="J57" s="395"/>
      <c r="K57" s="395"/>
      <c r="L57" s="395"/>
      <c r="M57" s="395"/>
      <c r="N57" s="395"/>
      <c r="O57" s="367"/>
    </row>
    <row r="58" spans="1:21" ht="51.75" customHeight="1">
      <c r="B58" s="368"/>
      <c r="C58" s="355"/>
      <c r="D58" s="355"/>
      <c r="E58" s="355"/>
      <c r="I58" s="406" t="s">
        <v>272</v>
      </c>
      <c r="J58" s="406" t="s">
        <v>283</v>
      </c>
      <c r="K58" s="584" t="s">
        <v>284</v>
      </c>
      <c r="L58" s="585"/>
      <c r="M58" s="369"/>
      <c r="O58" s="369"/>
      <c r="P58" s="369"/>
      <c r="R58" s="369"/>
      <c r="S58" s="369"/>
      <c r="U58" s="137"/>
    </row>
    <row r="59" spans="1:21">
      <c r="A59" s="391"/>
      <c r="B59" s="391">
        <v>1</v>
      </c>
      <c r="C59" s="146" t="s">
        <v>287</v>
      </c>
      <c r="I59" s="34">
        <v>26.91</v>
      </c>
      <c r="J59" s="35"/>
      <c r="K59" s="560"/>
      <c r="L59" s="561"/>
      <c r="M59" s="371"/>
      <c r="N59" s="108"/>
      <c r="O59" s="367"/>
      <c r="P59" s="371"/>
      <c r="R59" s="367"/>
      <c r="S59" s="371"/>
    </row>
    <row r="60" spans="1:21">
      <c r="A60" s="391"/>
      <c r="B60" s="391">
        <v>2</v>
      </c>
      <c r="C60" s="146" t="s">
        <v>286</v>
      </c>
      <c r="I60" s="34">
        <v>86.215599999999995</v>
      </c>
      <c r="J60" s="35"/>
      <c r="K60" s="560"/>
      <c r="L60" s="561"/>
      <c r="M60" s="371"/>
      <c r="N60" s="108"/>
      <c r="O60" s="367"/>
      <c r="P60" s="371"/>
      <c r="R60" s="367"/>
      <c r="S60" s="371"/>
    </row>
    <row r="61" spans="1:21">
      <c r="A61" s="391"/>
      <c r="B61" s="391">
        <v>3</v>
      </c>
      <c r="C61" s="146" t="s">
        <v>285</v>
      </c>
      <c r="I61" s="34">
        <v>86.215599999999995</v>
      </c>
      <c r="J61" s="35"/>
      <c r="K61" s="560"/>
      <c r="L61" s="561"/>
      <c r="M61" s="371"/>
      <c r="P61" s="371"/>
      <c r="R61" s="367"/>
      <c r="S61" s="371"/>
    </row>
    <row r="62" spans="1:21">
      <c r="A62" s="391"/>
      <c r="B62" s="391">
        <v>4</v>
      </c>
      <c r="C62" s="146" t="s">
        <v>288</v>
      </c>
      <c r="I62" s="34"/>
      <c r="J62" s="35"/>
      <c r="K62" s="560"/>
      <c r="L62" s="561"/>
      <c r="M62" s="371"/>
      <c r="N62" s="108"/>
      <c r="O62" s="367"/>
      <c r="P62" s="371"/>
      <c r="R62" s="367"/>
      <c r="S62" s="371"/>
    </row>
    <row r="63" spans="1:21">
      <c r="A63" s="391"/>
      <c r="B63" s="391">
        <v>5</v>
      </c>
      <c r="C63" s="146" t="s">
        <v>289</v>
      </c>
      <c r="I63" s="34">
        <v>1</v>
      </c>
      <c r="J63" s="35"/>
      <c r="K63" s="560"/>
      <c r="L63" s="561"/>
      <c r="M63" s="371"/>
      <c r="N63" s="108"/>
      <c r="R63" s="367"/>
      <c r="S63" s="371"/>
    </row>
    <row r="64" spans="1:21">
      <c r="A64" s="391"/>
      <c r="B64" s="391">
        <v>6</v>
      </c>
      <c r="C64" s="146" t="s">
        <v>290</v>
      </c>
      <c r="I64" s="34"/>
      <c r="J64" s="35"/>
      <c r="K64" s="560"/>
      <c r="L64" s="561"/>
      <c r="M64" s="371"/>
      <c r="N64" s="108"/>
      <c r="O64" s="367"/>
      <c r="P64" s="371"/>
      <c r="R64" s="367"/>
      <c r="S64" s="371"/>
    </row>
    <row r="65" spans="1:19">
      <c r="A65" s="391"/>
      <c r="B65" s="391">
        <v>7</v>
      </c>
      <c r="C65" s="146" t="s">
        <v>291</v>
      </c>
      <c r="I65" s="34"/>
      <c r="J65" s="35"/>
      <c r="K65" s="560"/>
      <c r="L65" s="561"/>
      <c r="M65" s="371"/>
      <c r="N65" s="108"/>
      <c r="O65" s="367"/>
      <c r="P65" s="371"/>
      <c r="R65" s="367"/>
      <c r="S65" s="371"/>
    </row>
    <row r="66" spans="1:19">
      <c r="A66" s="391"/>
      <c r="B66" s="391">
        <v>8</v>
      </c>
      <c r="C66" s="146" t="s">
        <v>292</v>
      </c>
      <c r="I66" s="34"/>
      <c r="J66" s="35"/>
      <c r="K66" s="560"/>
      <c r="L66" s="561"/>
      <c r="M66" s="371"/>
      <c r="N66" s="108"/>
      <c r="O66" s="367"/>
      <c r="P66" s="371"/>
      <c r="R66" s="367"/>
      <c r="S66" s="371"/>
    </row>
    <row r="67" spans="1:19">
      <c r="A67" s="391"/>
      <c r="B67" s="391">
        <v>9</v>
      </c>
      <c r="C67" s="146" t="s">
        <v>293</v>
      </c>
      <c r="I67" s="34"/>
      <c r="J67" s="35"/>
      <c r="K67" s="560"/>
      <c r="L67" s="561"/>
      <c r="M67" s="371"/>
      <c r="N67" s="108"/>
      <c r="O67" s="367"/>
      <c r="P67" s="371"/>
      <c r="R67" s="367"/>
      <c r="S67" s="371"/>
    </row>
    <row r="68" spans="1:19">
      <c r="A68" s="391"/>
      <c r="B68" s="391">
        <v>10</v>
      </c>
      <c r="C68" s="146" t="s">
        <v>294</v>
      </c>
      <c r="I68" s="34"/>
      <c r="J68" s="372"/>
      <c r="K68" s="567"/>
      <c r="L68" s="568"/>
      <c r="M68" s="371"/>
      <c r="N68" s="108"/>
      <c r="O68" s="367"/>
      <c r="P68" s="371"/>
      <c r="R68" s="367"/>
      <c r="S68" s="371"/>
    </row>
    <row r="69" spans="1:19">
      <c r="A69" s="391"/>
      <c r="B69" s="391">
        <v>11</v>
      </c>
      <c r="C69" s="146" t="s">
        <v>295</v>
      </c>
      <c r="I69" s="34">
        <v>31.673999999999999</v>
      </c>
      <c r="J69" s="35"/>
      <c r="K69" s="560"/>
      <c r="L69" s="561"/>
      <c r="M69" s="371"/>
      <c r="N69" s="108"/>
      <c r="O69" s="367"/>
      <c r="P69" s="371"/>
      <c r="R69" s="367"/>
      <c r="S69" s="371"/>
    </row>
    <row r="70" spans="1:19">
      <c r="A70" s="391"/>
      <c r="B70" s="391">
        <v>12</v>
      </c>
      <c r="C70" s="146" t="s">
        <v>296</v>
      </c>
      <c r="I70" s="34"/>
      <c r="J70" s="35"/>
      <c r="K70" s="560"/>
      <c r="L70" s="561"/>
      <c r="M70" s="371"/>
      <c r="N70" s="108"/>
      <c r="O70" s="367"/>
      <c r="P70" s="371"/>
      <c r="R70" s="367"/>
      <c r="S70" s="371"/>
    </row>
    <row r="71" spans="1:19">
      <c r="A71" s="391"/>
      <c r="B71" s="391">
        <v>13</v>
      </c>
      <c r="C71" s="146" t="s">
        <v>297</v>
      </c>
      <c r="I71" s="34"/>
      <c r="J71" s="35"/>
      <c r="K71" s="560"/>
      <c r="L71" s="561"/>
      <c r="M71" s="371"/>
      <c r="N71" s="108"/>
      <c r="O71" s="367"/>
      <c r="P71" s="371"/>
      <c r="R71" s="367"/>
      <c r="S71" s="371"/>
    </row>
    <row r="72" spans="1:19">
      <c r="A72" s="391"/>
      <c r="B72" s="391">
        <v>14</v>
      </c>
      <c r="C72" s="146" t="s">
        <v>298</v>
      </c>
      <c r="I72" s="34"/>
      <c r="J72" s="35"/>
      <c r="K72" s="560"/>
      <c r="L72" s="561"/>
      <c r="M72" s="371"/>
      <c r="N72" s="108"/>
      <c r="O72" s="367"/>
      <c r="P72" s="371"/>
      <c r="R72" s="367"/>
      <c r="S72" s="371"/>
    </row>
    <row r="73" spans="1:19">
      <c r="A73" s="391"/>
      <c r="B73" s="391">
        <v>15</v>
      </c>
      <c r="C73" s="122" t="s">
        <v>468</v>
      </c>
      <c r="D73" s="122"/>
      <c r="E73" s="122"/>
      <c r="F73" s="122"/>
      <c r="G73" s="122"/>
      <c r="I73" s="34">
        <v>125.32729999999999</v>
      </c>
      <c r="J73" s="35"/>
      <c r="K73" s="560"/>
      <c r="L73" s="561"/>
      <c r="M73" s="371"/>
      <c r="N73" s="108"/>
      <c r="O73" s="108"/>
      <c r="P73" s="371"/>
      <c r="R73" s="371"/>
      <c r="S73" s="371"/>
    </row>
    <row r="74" spans="1:19">
      <c r="A74" s="391"/>
      <c r="B74" s="391">
        <v>16</v>
      </c>
      <c r="C74" s="373" t="s">
        <v>469</v>
      </c>
      <c r="D74" s="192"/>
      <c r="E74" s="192"/>
      <c r="I74" s="34"/>
      <c r="J74" s="35"/>
      <c r="K74" s="560"/>
      <c r="L74" s="561"/>
      <c r="M74" s="371"/>
      <c r="N74" s="108"/>
      <c r="O74" s="367"/>
      <c r="P74" s="371"/>
      <c r="R74" s="367"/>
      <c r="S74" s="371"/>
    </row>
    <row r="75" spans="1:19">
      <c r="A75" s="391"/>
      <c r="B75" s="391">
        <v>17</v>
      </c>
      <c r="C75" t="s">
        <v>299</v>
      </c>
      <c r="D75" s="192"/>
      <c r="E75" s="192"/>
      <c r="I75" s="370">
        <f>SUM(I59:I74)</f>
        <v>357.34249999999997</v>
      </c>
      <c r="J75" s="374">
        <f>SUM(J59:J74)</f>
        <v>0</v>
      </c>
      <c r="K75" s="564">
        <f>SUM(K59:K74)</f>
        <v>0</v>
      </c>
      <c r="L75" s="565"/>
      <c r="M75" s="371"/>
      <c r="N75" s="108"/>
      <c r="O75" s="108"/>
      <c r="P75" s="371"/>
      <c r="R75" s="371"/>
      <c r="S75" s="371"/>
    </row>
    <row r="76" spans="1:19" ht="14.25" customHeight="1">
      <c r="A76" s="391"/>
      <c r="B76" s="375" t="s">
        <v>300</v>
      </c>
      <c r="C76" s="146" t="s">
        <v>301</v>
      </c>
      <c r="D76" s="146"/>
      <c r="E76" s="146"/>
      <c r="F76" s="146"/>
      <c r="G76" s="146"/>
      <c r="H76" s="146"/>
      <c r="I76" s="376"/>
      <c r="J76" s="377"/>
      <c r="K76" s="378"/>
      <c r="L76" s="378"/>
      <c r="M76" s="379"/>
      <c r="N76" s="380"/>
      <c r="O76" s="108"/>
      <c r="P76" s="371"/>
      <c r="R76" s="371"/>
      <c r="S76" s="371"/>
    </row>
    <row r="77" spans="1:19" ht="14.25" customHeight="1">
      <c r="A77" s="391"/>
      <c r="B77" s="375" t="s">
        <v>302</v>
      </c>
      <c r="C77" s="146" t="s">
        <v>303</v>
      </c>
      <c r="D77" s="146"/>
      <c r="E77" s="146"/>
      <c r="F77" s="146"/>
      <c r="G77" s="146"/>
      <c r="H77" s="146"/>
      <c r="I77" s="376"/>
      <c r="J77" s="377"/>
      <c r="K77" s="378"/>
      <c r="L77" s="378"/>
      <c r="M77" s="379"/>
      <c r="N77" s="380"/>
      <c r="O77" s="108"/>
      <c r="P77" s="371"/>
      <c r="R77" s="371"/>
      <c r="S77" s="371"/>
    </row>
    <row r="78" spans="1:19">
      <c r="A78" s="391"/>
      <c r="B78" s="375" t="s">
        <v>304</v>
      </c>
      <c r="C78" s="505" t="s">
        <v>305</v>
      </c>
      <c r="D78" s="505"/>
      <c r="E78" s="505"/>
      <c r="F78" s="505"/>
      <c r="G78" s="505"/>
      <c r="H78" s="505"/>
      <c r="I78" s="505"/>
      <c r="J78" s="505"/>
      <c r="K78" s="505"/>
      <c r="L78" s="505"/>
      <c r="M78" s="505"/>
      <c r="N78" s="505"/>
      <c r="O78" s="108"/>
      <c r="P78" s="371"/>
      <c r="R78" s="371"/>
      <c r="S78" s="371"/>
    </row>
    <row r="79" spans="1:19">
      <c r="A79" s="391"/>
      <c r="B79" s="267"/>
      <c r="C79" s="505"/>
      <c r="D79" s="505"/>
      <c r="E79" s="505"/>
      <c r="F79" s="505"/>
      <c r="G79" s="505"/>
      <c r="H79" s="505"/>
      <c r="I79" s="505"/>
      <c r="J79" s="505"/>
      <c r="K79" s="505"/>
      <c r="L79" s="505"/>
      <c r="M79" s="505"/>
      <c r="N79" s="505"/>
      <c r="O79" s="108"/>
      <c r="P79" s="371"/>
      <c r="R79" s="371"/>
      <c r="S79" s="371"/>
    </row>
    <row r="80" spans="1:19" ht="12.75" customHeight="1">
      <c r="A80" s="391"/>
      <c r="B80" s="375" t="s">
        <v>306</v>
      </c>
      <c r="C80" s="566" t="s">
        <v>522</v>
      </c>
      <c r="D80" s="566"/>
      <c r="E80" s="566"/>
      <c r="F80" s="566"/>
      <c r="G80" s="566"/>
      <c r="H80" s="566"/>
      <c r="I80" s="566"/>
      <c r="J80" s="566"/>
      <c r="K80" s="566"/>
      <c r="L80" s="566"/>
      <c r="M80" s="566"/>
      <c r="N80" s="566"/>
      <c r="O80" s="566"/>
      <c r="P80" s="371"/>
      <c r="R80" s="371"/>
      <c r="S80" s="371"/>
    </row>
    <row r="81" spans="1:19" ht="13.5" customHeight="1">
      <c r="C81" s="566"/>
      <c r="D81" s="566"/>
      <c r="E81" s="566"/>
      <c r="F81" s="566"/>
      <c r="G81" s="566"/>
      <c r="H81" s="566"/>
      <c r="I81" s="566"/>
      <c r="J81" s="566"/>
      <c r="K81" s="566"/>
      <c r="L81" s="566"/>
      <c r="M81" s="566"/>
      <c r="N81" s="566"/>
      <c r="O81" s="566"/>
      <c r="P81" s="381"/>
      <c r="Q81" s="381"/>
      <c r="R81" s="381"/>
      <c r="S81" s="381"/>
    </row>
    <row r="82" spans="1:19" ht="15.75">
      <c r="A82" s="366"/>
      <c r="B82" s="375" t="s">
        <v>307</v>
      </c>
      <c r="C82" s="146" t="s">
        <v>472</v>
      </c>
      <c r="D82" s="381"/>
      <c r="E82" s="381"/>
      <c r="F82" s="381"/>
      <c r="G82" s="381"/>
      <c r="H82" s="381"/>
      <c r="I82" s="381"/>
      <c r="J82" s="381"/>
      <c r="K82" s="381"/>
      <c r="L82" s="381"/>
      <c r="M82" s="381"/>
      <c r="N82" s="381"/>
      <c r="O82" s="381"/>
      <c r="P82" s="381"/>
      <c r="Q82" s="381"/>
      <c r="R82" s="381"/>
      <c r="S82" s="381"/>
    </row>
    <row r="83" spans="1:19" ht="15.75">
      <c r="A83" s="366"/>
      <c r="D83" s="382"/>
      <c r="E83" s="382"/>
      <c r="F83" s="382"/>
      <c r="G83" s="382"/>
      <c r="H83" s="382"/>
      <c r="I83" s="382"/>
      <c r="J83" s="382"/>
      <c r="K83" s="382"/>
      <c r="L83" s="382"/>
      <c r="M83" s="382"/>
      <c r="N83" s="382"/>
      <c r="O83" s="382"/>
      <c r="P83" s="382"/>
      <c r="Q83" s="381"/>
      <c r="R83" s="381"/>
      <c r="S83" s="381"/>
    </row>
    <row r="84" spans="1:19" ht="16.5" thickBot="1">
      <c r="A84" s="366" t="s">
        <v>308</v>
      </c>
    </row>
    <row r="85" spans="1:19" ht="13.5" thickBot="1">
      <c r="B85" s="383">
        <v>1</v>
      </c>
      <c r="C85" s="30"/>
      <c r="D85" s="494" t="s">
        <v>309</v>
      </c>
      <c r="E85" s="494"/>
      <c r="F85" s="494"/>
      <c r="G85" s="494"/>
      <c r="H85" s="494"/>
      <c r="I85" s="494"/>
      <c r="J85" s="494"/>
      <c r="K85" s="494"/>
      <c r="L85" s="494"/>
      <c r="M85" s="407"/>
      <c r="N85" s="384"/>
      <c r="O85" s="363"/>
      <c r="P85" s="363"/>
    </row>
    <row r="86" spans="1:19" ht="78" customHeight="1">
      <c r="B86" s="383"/>
      <c r="C86" s="562" t="s">
        <v>517</v>
      </c>
      <c r="D86" s="562"/>
      <c r="E86" s="562"/>
      <c r="F86" s="562"/>
      <c r="G86" s="562"/>
      <c r="H86" s="562"/>
      <c r="I86" s="562"/>
      <c r="J86" s="562"/>
      <c r="M86" s="407"/>
      <c r="N86" s="384"/>
    </row>
    <row r="87" spans="1:19">
      <c r="B87" s="383"/>
      <c r="C87" s="135"/>
      <c r="D87" s="135"/>
      <c r="E87" s="135"/>
      <c r="F87" s="135"/>
      <c r="G87" s="135"/>
      <c r="H87" s="135"/>
      <c r="M87" s="407"/>
      <c r="N87" s="384"/>
    </row>
    <row r="88" spans="1:19">
      <c r="B88" s="383">
        <v>2</v>
      </c>
      <c r="C88" t="s">
        <v>310</v>
      </c>
      <c r="M88" s="407" t="s">
        <v>6</v>
      </c>
      <c r="N88" s="31"/>
    </row>
    <row r="89" spans="1:19" ht="138.75" customHeight="1">
      <c r="B89" s="383"/>
      <c r="C89" s="562" t="s">
        <v>311</v>
      </c>
      <c r="D89" s="562"/>
      <c r="E89" s="562"/>
      <c r="F89" s="562"/>
      <c r="G89" s="562"/>
      <c r="H89" s="562"/>
      <c r="I89" s="562"/>
      <c r="J89" s="562"/>
      <c r="M89" s="407"/>
      <c r="N89" s="384"/>
    </row>
    <row r="90" spans="1:19" ht="165" customHeight="1">
      <c r="B90" s="383"/>
      <c r="C90" s="562" t="s">
        <v>312</v>
      </c>
      <c r="D90" s="562"/>
      <c r="E90" s="562"/>
      <c r="F90" s="562"/>
      <c r="G90" s="562"/>
      <c r="H90" s="562"/>
      <c r="I90" s="562"/>
      <c r="J90" s="562"/>
      <c r="K90" s="113"/>
      <c r="L90" s="113"/>
      <c r="M90" s="407"/>
      <c r="N90" s="384"/>
    </row>
    <row r="91" spans="1:19">
      <c r="B91" s="383"/>
      <c r="C91" s="135"/>
      <c r="D91" s="135"/>
      <c r="E91" s="135"/>
      <c r="F91" s="135"/>
      <c r="G91" s="135"/>
      <c r="H91" s="135"/>
      <c r="M91" s="407"/>
      <c r="N91" s="384"/>
    </row>
    <row r="92" spans="1:19">
      <c r="B92" s="383">
        <v>3</v>
      </c>
      <c r="C92" t="s">
        <v>518</v>
      </c>
      <c r="M92" s="407" t="s">
        <v>6</v>
      </c>
      <c r="N92" s="31">
        <v>13000</v>
      </c>
    </row>
    <row r="93" spans="1:19" ht="98.25" customHeight="1">
      <c r="B93" s="383"/>
      <c r="C93" s="562" t="s">
        <v>519</v>
      </c>
      <c r="D93" s="562"/>
      <c r="E93" s="562"/>
      <c r="F93" s="562"/>
      <c r="G93" s="562"/>
      <c r="H93" s="562"/>
      <c r="I93" s="562"/>
      <c r="J93" s="562"/>
      <c r="M93" s="407"/>
      <c r="N93" s="384"/>
    </row>
    <row r="94" spans="1:19">
      <c r="B94" s="383"/>
      <c r="C94" s="135"/>
      <c r="D94" s="135"/>
      <c r="E94" s="135"/>
      <c r="F94" s="135"/>
      <c r="M94" s="407"/>
      <c r="N94" s="384"/>
    </row>
    <row r="95" spans="1:19" ht="14.25" customHeight="1">
      <c r="B95" s="211">
        <v>4</v>
      </c>
      <c r="C95" t="s">
        <v>520</v>
      </c>
      <c r="M95" s="407" t="s">
        <v>6</v>
      </c>
      <c r="N95" s="31"/>
    </row>
    <row r="96" spans="1:19" ht="53.25" customHeight="1">
      <c r="C96" s="562" t="s">
        <v>521</v>
      </c>
      <c r="D96" s="562"/>
      <c r="E96" s="562"/>
      <c r="F96" s="562"/>
      <c r="G96" s="562"/>
      <c r="H96" s="562"/>
      <c r="I96" s="562"/>
      <c r="J96" s="562"/>
    </row>
    <row r="97" spans="1:28">
      <c r="C97" s="398"/>
      <c r="D97" s="398"/>
      <c r="E97" s="398"/>
      <c r="F97" s="398"/>
      <c r="G97" s="398"/>
      <c r="H97" s="398"/>
      <c r="I97" s="398"/>
      <c r="J97" s="398"/>
    </row>
    <row r="98" spans="1:28" s="192" customFormat="1">
      <c r="B98" s="211">
        <v>5</v>
      </c>
      <c r="C98" t="s">
        <v>313</v>
      </c>
      <c r="M98" s="407" t="s">
        <v>6</v>
      </c>
      <c r="N98" s="31"/>
    </row>
    <row r="99" spans="1:28" s="192" customFormat="1" ht="85.5" customHeight="1">
      <c r="C99" s="562" t="s">
        <v>314</v>
      </c>
      <c r="D99" s="562"/>
      <c r="E99" s="562"/>
      <c r="F99" s="562"/>
      <c r="G99" s="562"/>
      <c r="H99" s="562"/>
      <c r="I99" s="562"/>
      <c r="J99" s="562"/>
    </row>
    <row r="100" spans="1:28" ht="13.5" customHeight="1"/>
    <row r="101" spans="1:28" ht="15" customHeight="1">
      <c r="A101" s="558" t="s">
        <v>545</v>
      </c>
      <c r="B101" s="558"/>
      <c r="C101" s="558"/>
      <c r="D101" s="558"/>
      <c r="E101" s="558"/>
      <c r="F101" s="558"/>
      <c r="G101" s="558"/>
      <c r="H101" s="558"/>
      <c r="I101" s="558"/>
      <c r="J101" s="558"/>
      <c r="K101" s="558"/>
      <c r="L101" s="558"/>
      <c r="M101" s="558"/>
      <c r="N101" s="558"/>
      <c r="O101" s="558"/>
      <c r="P101" s="450"/>
    </row>
    <row r="103" spans="1:28">
      <c r="B103" s="383">
        <v>1</v>
      </c>
      <c r="C103" t="s">
        <v>544</v>
      </c>
      <c r="M103" s="407" t="s">
        <v>6</v>
      </c>
      <c r="N103" s="31">
        <v>18975</v>
      </c>
    </row>
    <row r="104" spans="1:28" ht="128.44999999999999" customHeight="1">
      <c r="C104" s="559" t="s">
        <v>550</v>
      </c>
      <c r="D104" s="559"/>
      <c r="E104" s="559"/>
      <c r="F104" s="559"/>
      <c r="G104" s="559"/>
      <c r="H104" s="559"/>
      <c r="I104" s="559"/>
      <c r="J104" s="559"/>
    </row>
    <row r="105" spans="1:28">
      <c r="U105" s="192"/>
      <c r="V105" s="192"/>
      <c r="W105" s="192"/>
      <c r="X105" s="192"/>
      <c r="Y105" s="192"/>
      <c r="Z105" s="192"/>
      <c r="AA105" s="192"/>
      <c r="AB105" s="192"/>
    </row>
    <row r="106" spans="1:28" ht="15.75">
      <c r="A106" s="558" t="s">
        <v>546</v>
      </c>
      <c r="B106" s="558"/>
      <c r="C106" s="558"/>
      <c r="D106" s="558"/>
      <c r="E106" s="558"/>
      <c r="F106" s="558"/>
      <c r="G106" s="558"/>
      <c r="H106" s="558"/>
      <c r="I106" s="558"/>
      <c r="J106" s="558"/>
      <c r="K106" s="558"/>
      <c r="L106" s="558"/>
      <c r="M106" s="558"/>
      <c r="N106" s="558"/>
      <c r="O106" s="558"/>
      <c r="P106" s="558"/>
      <c r="U106" s="192"/>
      <c r="V106" s="192"/>
      <c r="W106" s="192"/>
      <c r="X106" s="192"/>
      <c r="Y106" s="192"/>
      <c r="Z106" s="192"/>
      <c r="AA106" s="192"/>
      <c r="AB106" s="192"/>
    </row>
    <row r="107" spans="1:28" ht="12.75" customHeight="1">
      <c r="U107" s="192"/>
      <c r="V107" s="192"/>
      <c r="W107" s="192"/>
      <c r="X107" s="192"/>
      <c r="Y107" s="192"/>
      <c r="Z107" s="192"/>
      <c r="AA107" s="192"/>
      <c r="AB107" s="148"/>
    </row>
    <row r="108" spans="1:28">
      <c r="B108" s="383">
        <v>1</v>
      </c>
      <c r="C108" t="s">
        <v>540</v>
      </c>
      <c r="M108" s="407" t="s">
        <v>6</v>
      </c>
      <c r="N108" s="31"/>
      <c r="U108" s="192"/>
      <c r="V108" s="447" t="s">
        <v>41</v>
      </c>
      <c r="W108" s="148"/>
      <c r="X108" s="148"/>
      <c r="Y108" s="148"/>
      <c r="Z108" s="148"/>
      <c r="AA108" s="148"/>
      <c r="AB108" s="148"/>
    </row>
    <row r="109" spans="1:28" ht="69" customHeight="1">
      <c r="C109" s="559" t="s">
        <v>548</v>
      </c>
      <c r="D109" s="559"/>
      <c r="E109" s="559"/>
      <c r="F109" s="559"/>
      <c r="G109" s="559"/>
      <c r="H109" s="559"/>
      <c r="I109" s="559"/>
      <c r="J109" s="559"/>
      <c r="U109" s="192"/>
      <c r="V109" s="447" t="s">
        <v>43</v>
      </c>
      <c r="W109" s="148"/>
      <c r="X109" s="148"/>
      <c r="Y109" s="148"/>
      <c r="Z109" s="148"/>
      <c r="AA109" s="148"/>
      <c r="AB109" s="148"/>
    </row>
    <row r="110" spans="1:28">
      <c r="B110" s="145"/>
      <c r="C110" s="505"/>
      <c r="D110" s="505"/>
      <c r="E110" s="505"/>
      <c r="F110" s="505"/>
      <c r="G110" s="505"/>
      <c r="H110" s="505"/>
      <c r="I110" s="505"/>
      <c r="J110" s="505"/>
      <c r="U110" s="192"/>
      <c r="V110" s="191" t="s">
        <v>45</v>
      </c>
      <c r="W110" s="148"/>
      <c r="X110" s="148"/>
      <c r="Y110" s="148"/>
      <c r="Z110" s="148"/>
      <c r="AA110" s="148"/>
      <c r="AB110" s="148"/>
    </row>
    <row r="111" spans="1:28" ht="15.75" customHeight="1">
      <c r="A111" s="558" t="s">
        <v>547</v>
      </c>
      <c r="B111" s="558"/>
      <c r="C111" s="558"/>
      <c r="D111" s="558"/>
      <c r="E111" s="558"/>
      <c r="F111" s="558"/>
      <c r="G111" s="558"/>
      <c r="H111" s="558"/>
      <c r="I111" s="558"/>
      <c r="J111" s="558"/>
      <c r="K111" s="558"/>
      <c r="L111" s="558"/>
      <c r="M111" s="558"/>
      <c r="N111" s="558"/>
      <c r="O111" s="558"/>
      <c r="P111" s="450"/>
      <c r="U111" s="192"/>
      <c r="V111" s="148" t="s">
        <v>46</v>
      </c>
      <c r="W111" s="148"/>
      <c r="X111" s="148"/>
      <c r="Y111" s="148"/>
      <c r="Z111" s="148"/>
      <c r="AA111" s="148"/>
      <c r="AB111" s="148"/>
    </row>
    <row r="112" spans="1:28">
      <c r="U112" s="192"/>
      <c r="V112" s="447" t="s">
        <v>48</v>
      </c>
      <c r="W112" s="148"/>
      <c r="X112" s="148"/>
      <c r="Y112" s="148"/>
      <c r="Z112" s="148"/>
      <c r="AA112" s="191" t="s">
        <v>39</v>
      </c>
      <c r="AB112" s="148"/>
    </row>
    <row r="113" spans="2:28">
      <c r="B113" s="383">
        <v>1</v>
      </c>
      <c r="C113" t="s">
        <v>541</v>
      </c>
      <c r="M113" s="407" t="s">
        <v>6</v>
      </c>
      <c r="N113" s="31"/>
      <c r="U113" s="192"/>
      <c r="V113" s="447" t="s">
        <v>49</v>
      </c>
      <c r="W113" s="148"/>
      <c r="X113" s="148"/>
      <c r="Y113" s="148"/>
      <c r="Z113" s="148"/>
      <c r="AA113" s="191" t="s">
        <v>40</v>
      </c>
      <c r="AB113" s="148"/>
    </row>
    <row r="114" spans="2:28" ht="72" customHeight="1">
      <c r="C114" s="559" t="s">
        <v>549</v>
      </c>
      <c r="D114" s="559"/>
      <c r="E114" s="559"/>
      <c r="F114" s="559"/>
      <c r="G114" s="559"/>
      <c r="H114" s="559"/>
      <c r="I114" s="559"/>
      <c r="J114" s="559"/>
      <c r="U114" s="192"/>
      <c r="V114" s="191" t="s">
        <v>51</v>
      </c>
      <c r="W114" s="148"/>
      <c r="X114" s="148"/>
      <c r="Y114" s="148"/>
      <c r="Z114" s="148"/>
      <c r="AA114" s="148"/>
      <c r="AB114" s="148"/>
    </row>
    <row r="115" spans="2:28">
      <c r="B115" s="145"/>
      <c r="C115" s="563"/>
      <c r="D115" s="563"/>
      <c r="E115" s="563"/>
      <c r="U115" s="192"/>
      <c r="V115" s="191" t="s">
        <v>52</v>
      </c>
      <c r="W115" s="148"/>
      <c r="X115" s="148"/>
      <c r="Y115" s="148"/>
      <c r="Z115" s="148"/>
      <c r="AA115" s="148"/>
      <c r="AB115" s="148"/>
    </row>
    <row r="116" spans="2:28">
      <c r="B116" s="145"/>
      <c r="C116" s="563"/>
      <c r="D116" s="563"/>
      <c r="E116" s="563"/>
      <c r="U116" s="192"/>
      <c r="V116" s="191" t="s">
        <v>53</v>
      </c>
      <c r="W116" s="148"/>
      <c r="X116" s="148"/>
      <c r="Y116" s="148"/>
      <c r="Z116" s="148"/>
      <c r="AA116" s="148"/>
      <c r="AB116" s="148"/>
    </row>
    <row r="117" spans="2:28">
      <c r="B117" s="145"/>
      <c r="C117" s="563"/>
      <c r="D117" s="563"/>
      <c r="E117" s="563"/>
      <c r="U117" s="192"/>
      <c r="V117" s="447" t="s">
        <v>54</v>
      </c>
      <c r="W117" s="148"/>
      <c r="X117" s="148"/>
      <c r="Y117" s="148"/>
      <c r="Z117" s="148"/>
      <c r="AA117" s="148"/>
      <c r="AB117" s="148"/>
    </row>
    <row r="118" spans="2:28">
      <c r="B118" s="145"/>
      <c r="C118" s="563"/>
      <c r="D118" s="563"/>
      <c r="E118" s="563"/>
      <c r="U118" s="192"/>
      <c r="V118" s="191" t="s">
        <v>55</v>
      </c>
      <c r="W118" s="148"/>
      <c r="X118" s="148"/>
      <c r="Y118" s="148"/>
      <c r="Z118" s="148"/>
      <c r="AA118" s="148"/>
      <c r="AB118" s="148"/>
    </row>
    <row r="119" spans="2:28">
      <c r="B119" s="145"/>
      <c r="C119" s="563"/>
      <c r="D119" s="563"/>
      <c r="E119" s="563"/>
      <c r="U119" s="192"/>
      <c r="V119" s="447" t="s">
        <v>56</v>
      </c>
      <c r="W119" s="148"/>
      <c r="X119" s="148"/>
      <c r="Y119" s="148"/>
      <c r="Z119" s="148"/>
      <c r="AA119" s="148"/>
      <c r="AB119" s="148"/>
    </row>
    <row r="120" spans="2:28">
      <c r="B120" s="145"/>
      <c r="C120" s="563"/>
      <c r="D120" s="563"/>
      <c r="E120" s="563"/>
      <c r="U120" s="192"/>
      <c r="V120" s="447" t="s">
        <v>58</v>
      </c>
      <c r="W120" s="148"/>
      <c r="X120" s="148"/>
      <c r="Y120" s="148"/>
      <c r="Z120" s="148"/>
      <c r="AA120" s="148"/>
      <c r="AB120" s="148"/>
    </row>
    <row r="121" spans="2:28">
      <c r="B121" s="145"/>
      <c r="C121" s="563"/>
      <c r="D121" s="563"/>
      <c r="E121" s="563"/>
      <c r="U121" s="192"/>
      <c r="V121" s="447" t="s">
        <v>60</v>
      </c>
      <c r="W121" s="148"/>
      <c r="X121" s="148"/>
      <c r="Y121" s="148"/>
      <c r="Z121" s="148"/>
      <c r="AA121" s="148"/>
      <c r="AB121" s="148"/>
    </row>
    <row r="122" spans="2:28">
      <c r="U122" s="192"/>
      <c r="V122" s="191"/>
      <c r="W122" s="148"/>
      <c r="X122" s="148"/>
      <c r="Y122" s="148"/>
      <c r="Z122" s="148"/>
      <c r="AA122" s="148"/>
      <c r="AB122" s="148"/>
    </row>
    <row r="123" spans="2:28">
      <c r="V123" s="148" t="s">
        <v>460</v>
      </c>
      <c r="W123" s="148"/>
      <c r="X123" s="148"/>
      <c r="Y123" s="148"/>
      <c r="Z123" s="148"/>
      <c r="AA123" s="148"/>
      <c r="AB123" s="148"/>
    </row>
    <row r="124" spans="2:28">
      <c r="V124" s="148" t="s">
        <v>461</v>
      </c>
      <c r="W124" s="148"/>
      <c r="X124" s="148"/>
      <c r="Y124" s="148"/>
      <c r="Z124" s="148"/>
      <c r="AA124" s="148"/>
      <c r="AB124" s="148"/>
    </row>
    <row r="125" spans="2:28">
      <c r="V125" s="148" t="s">
        <v>462</v>
      </c>
      <c r="W125" s="148"/>
      <c r="X125" s="148"/>
      <c r="Y125" s="148"/>
      <c r="Z125" s="148"/>
      <c r="AA125" s="148"/>
      <c r="AB125" s="148"/>
    </row>
    <row r="126" spans="2:28">
      <c r="V126" s="148" t="s">
        <v>463</v>
      </c>
      <c r="W126" s="148"/>
      <c r="X126" s="148"/>
      <c r="Y126" s="148"/>
      <c r="Z126" s="148"/>
      <c r="AA126" s="148"/>
      <c r="AB126" s="148"/>
    </row>
  </sheetData>
  <sheetProtection sheet="1" formatColumns="0" formatRows="0"/>
  <mergeCells count="112">
    <mergeCell ref="A106:P106"/>
    <mergeCell ref="C109:J109"/>
    <mergeCell ref="A111:O111"/>
    <mergeCell ref="C114:J114"/>
    <mergeCell ref="C13:J13"/>
    <mergeCell ref="C15:E15"/>
    <mergeCell ref="C16:E16"/>
    <mergeCell ref="C17:E17"/>
    <mergeCell ref="H37:J37"/>
    <mergeCell ref="F37:G37"/>
    <mergeCell ref="B37:E37"/>
    <mergeCell ref="B38:E38"/>
    <mergeCell ref="F23:I23"/>
    <mergeCell ref="F18:I18"/>
    <mergeCell ref="F19:I19"/>
    <mergeCell ref="F20:I20"/>
    <mergeCell ref="F21:I21"/>
    <mergeCell ref="F22:I22"/>
    <mergeCell ref="L48:M48"/>
    <mergeCell ref="I47:J47"/>
    <mergeCell ref="I48:J48"/>
    <mergeCell ref="F46:G46"/>
    <mergeCell ref="K62:L62"/>
    <mergeCell ref="L49:M49"/>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I49:J49"/>
    <mergeCell ref="K59:L59"/>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C80:O81"/>
    <mergeCell ref="C93:J93"/>
    <mergeCell ref="K70:L70"/>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A101:O101"/>
    <mergeCell ref="C104:J104"/>
    <mergeCell ref="K66:L66"/>
    <mergeCell ref="C90:J90"/>
    <mergeCell ref="K72:L72"/>
    <mergeCell ref="K61:L61"/>
    <mergeCell ref="C121:E121"/>
    <mergeCell ref="C110:J110"/>
    <mergeCell ref="C116:E116"/>
    <mergeCell ref="C117:E117"/>
    <mergeCell ref="C118:E118"/>
    <mergeCell ref="C119:E119"/>
    <mergeCell ref="C120:E120"/>
    <mergeCell ref="C115:E115"/>
    <mergeCell ref="C89:J89"/>
    <mergeCell ref="C86:J86"/>
    <mergeCell ref="C78:N79"/>
    <mergeCell ref="D85:L85"/>
    <mergeCell ref="K71:L71"/>
    <mergeCell ref="C99:J99"/>
    <mergeCell ref="K69:L69"/>
    <mergeCell ref="C96:J96"/>
    <mergeCell ref="K74:L74"/>
    <mergeCell ref="K75:L75"/>
  </mergeCells>
  <conditionalFormatting sqref="F15">
    <cfRule type="expression" dxfId="0" priority="1">
      <formula>$C$61&lt;&gt;""</formula>
    </cfRule>
  </conditionalFormatting>
  <dataValidations count="8">
    <dataValidation type="list" allowBlank="1" showInputMessage="1" showErrorMessage="1" sqref="C85">
      <formula1>"X"</formula1>
    </dataValidation>
    <dataValidation type="list" allowBlank="1" showInputMessage="1" showErrorMessage="1" sqref="B29:B32">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formula1>N98&lt;=0</formula1>
    </dataValidation>
    <dataValidation type="list" allowBlank="1" showInputMessage="1" showErrorMessage="1" sqref="F15:I15">
      <formula1>$V$122:$V$126</formula1>
    </dataValidation>
    <dataValidation type="list" allowBlank="1" showInputMessage="1" showErrorMessage="1" sqref="F10:I11">
      <formula1>$AA$112:$AA$113</formula1>
    </dataValidation>
    <dataValidation type="list" allowBlank="1" showInputMessage="1" showErrorMessage="1" sqref="F6:I6">
      <formula1>$V$108:$V$121</formula1>
    </dataValidation>
    <dataValidation allowBlank="1" showInputMessage="1" showErrorMessage="1" prompt="Leave blank for budget adoption." sqref="N108 N113"/>
    <dataValidation allowBlank="1" showErrorMessage="1" sqref="N103"/>
  </dataValidations>
  <pageMargins left="0.7" right="0.7" top="0.75" bottom="0.75" header="0.3" footer="0.3"/>
  <pageSetup paperSize="5" scale="37" fitToWidth="0" orientation="portrait" r:id="rId1"/>
  <headerFooter>
    <oddFooter>&amp;L&amp;"Arial,Bold"Rev. 5/25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0"/>
  <sheetViews>
    <sheetView showGridLines="0" topLeftCell="A61" workbookViewId="0">
      <selection activeCell="P79" sqref="P79:R80"/>
    </sheetView>
  </sheetViews>
  <sheetFormatPr defaultColWidth="11" defaultRowHeight="12"/>
  <cols>
    <col min="1" max="1" width="3.42578125" style="38" customWidth="1"/>
    <col min="2" max="2" width="2.42578125" style="38" customWidth="1"/>
    <col min="3" max="3" width="4" style="38" customWidth="1"/>
    <col min="4" max="4" width="4.42578125" style="38" customWidth="1"/>
    <col min="5" max="5" width="7.5703125" style="38" customWidth="1"/>
    <col min="6" max="7" width="11" style="38" customWidth="1"/>
    <col min="8" max="9" width="11.5703125" style="38" customWidth="1"/>
    <col min="10" max="10" width="12.5703125" style="38" customWidth="1"/>
    <col min="11" max="11" width="2.5703125" style="38" customWidth="1"/>
    <col min="12" max="12" width="14" style="38" customWidth="1"/>
    <col min="13" max="13" width="1.5703125" style="38" customWidth="1"/>
    <col min="14" max="14" width="14.5703125" style="38" customWidth="1"/>
    <col min="15" max="15" width="11" style="38" customWidth="1"/>
    <col min="16" max="16" width="7.5703125" style="38" customWidth="1"/>
    <col min="17" max="18" width="11" style="38" customWidth="1"/>
    <col min="19" max="19" width="7.42578125" style="38" customWidth="1"/>
    <col min="20" max="22" width="11" style="38" customWidth="1"/>
    <col min="23" max="23" width="7.42578125" style="38" customWidth="1"/>
    <col min="24" max="26" width="11" style="38" customWidth="1"/>
    <col min="27" max="27" width="7.42578125" style="38" customWidth="1"/>
    <col min="28" max="33" width="11" style="38" customWidth="1"/>
    <col min="34" max="16384" width="11" style="38"/>
  </cols>
  <sheetData>
    <row r="1" spans="1:15" ht="15.75" customHeight="1">
      <c r="A1" s="619" t="s">
        <v>0</v>
      </c>
      <c r="B1" s="619"/>
      <c r="C1" s="619"/>
      <c r="D1" s="619"/>
      <c r="E1" s="501" t="str">
        <f>CharterName</f>
        <v>Freedom Academy Inc</v>
      </c>
      <c r="F1" s="501"/>
      <c r="G1" s="501"/>
      <c r="H1" s="407" t="s">
        <v>1</v>
      </c>
      <c r="I1" s="408" t="str">
        <f>Cover!M1</f>
        <v>Maricopa</v>
      </c>
      <c r="J1" s="619" t="s">
        <v>2</v>
      </c>
      <c r="K1" s="619"/>
      <c r="L1" s="502" t="str">
        <f>CTD</f>
        <v>078528000</v>
      </c>
      <c r="M1" s="502"/>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6" t="s">
        <v>315</v>
      </c>
      <c r="B5" s="36"/>
      <c r="C5" s="5"/>
      <c r="D5" s="5"/>
      <c r="E5" s="5"/>
      <c r="F5" s="5"/>
      <c r="G5" s="5"/>
      <c r="H5" s="5"/>
      <c r="I5" s="39"/>
      <c r="J5" s="36"/>
      <c r="K5" s="36"/>
      <c r="L5" s="37"/>
      <c r="M5" s="37"/>
      <c r="N5" s="36"/>
      <c r="O5" s="37"/>
    </row>
    <row r="6" spans="1:15" ht="15.75" customHeight="1">
      <c r="A6" s="6"/>
      <c r="B6" s="36"/>
      <c r="C6" s="40" t="s">
        <v>316</v>
      </c>
      <c r="D6" s="41"/>
      <c r="E6" s="41"/>
      <c r="F6" s="41"/>
      <c r="G6" s="41"/>
      <c r="H6" s="41"/>
      <c r="I6" s="42"/>
      <c r="J6" s="43"/>
      <c r="K6" s="43"/>
      <c r="L6" s="44"/>
      <c r="M6" s="44"/>
      <c r="N6" s="43"/>
      <c r="O6" s="37"/>
    </row>
    <row r="7" spans="1:15" ht="15.75" customHeight="1" thickBot="1">
      <c r="A7" s="36"/>
      <c r="B7" s="36"/>
      <c r="C7" s="45" t="s">
        <v>317</v>
      </c>
      <c r="D7" s="45"/>
      <c r="E7" s="46"/>
      <c r="F7" s="46"/>
      <c r="G7" s="46"/>
      <c r="H7" s="46"/>
      <c r="I7" s="47"/>
      <c r="J7" s="48"/>
      <c r="K7" s="49"/>
      <c r="L7" s="50" t="s">
        <v>270</v>
      </c>
      <c r="M7" s="51"/>
      <c r="N7" s="52" t="s">
        <v>271</v>
      </c>
      <c r="O7" s="37"/>
    </row>
    <row r="8" spans="1:15" ht="15.75" customHeight="1" thickTop="1">
      <c r="A8" s="36"/>
      <c r="B8" s="36"/>
      <c r="C8" s="53" t="s">
        <v>318</v>
      </c>
      <c r="D8"/>
      <c r="E8"/>
      <c r="F8" s="54"/>
      <c r="G8" s="54"/>
      <c r="H8" s="54"/>
      <c r="I8" s="39"/>
      <c r="J8" s="36"/>
      <c r="K8" s="55"/>
      <c r="L8"/>
      <c r="M8" s="53"/>
      <c r="N8" s="56"/>
      <c r="O8" s="37"/>
    </row>
    <row r="9" spans="1:15" ht="15.75" customHeight="1" thickBot="1">
      <c r="A9" s="36"/>
      <c r="B9" s="36"/>
      <c r="C9" s="57"/>
      <c r="D9" s="58" t="s">
        <v>319</v>
      </c>
      <c r="E9" s="58"/>
      <c r="F9" s="58"/>
      <c r="G9" s="58"/>
      <c r="H9" s="58"/>
      <c r="I9" s="59"/>
      <c r="J9" s="60"/>
      <c r="K9" s="61"/>
      <c r="L9" s="62">
        <v>1.399</v>
      </c>
      <c r="M9" s="63"/>
      <c r="N9" s="64">
        <v>1.5589999999999999</v>
      </c>
      <c r="O9" s="37"/>
    </row>
    <row r="10" spans="1:15" ht="15.75" customHeight="1" thickTop="1">
      <c r="A10" s="36"/>
      <c r="B10" s="36"/>
      <c r="C10" s="65" t="s">
        <v>320</v>
      </c>
      <c r="D10"/>
      <c r="E10"/>
      <c r="F10" s="66"/>
      <c r="G10" s="66"/>
      <c r="H10" s="66"/>
      <c r="I10" s="39"/>
      <c r="J10" s="36"/>
      <c r="K10" s="67"/>
      <c r="L10" s="68"/>
      <c r="M10" s="53"/>
      <c r="N10" s="69"/>
      <c r="O10" s="37"/>
    </row>
    <row r="11" spans="1:15" ht="15.75" customHeight="1">
      <c r="A11" s="36"/>
      <c r="B11" s="36"/>
      <c r="C11" s="53"/>
      <c r="D11" t="s">
        <v>321</v>
      </c>
      <c r="E11"/>
      <c r="F11"/>
      <c r="G11"/>
      <c r="H11"/>
      <c r="I11" s="39"/>
      <c r="J11" s="36"/>
      <c r="K11" s="402"/>
      <c r="L11" s="70">
        <v>500</v>
      </c>
      <c r="M11" s="71"/>
      <c r="N11" s="72">
        <v>500</v>
      </c>
      <c r="O11" s="37"/>
    </row>
    <row r="12" spans="1:15" ht="15.75" customHeight="1">
      <c r="A12" s="36"/>
      <c r="B12" s="36"/>
      <c r="C12" s="53"/>
      <c r="D12" t="s">
        <v>322</v>
      </c>
      <c r="E12"/>
      <c r="F12"/>
      <c r="G12"/>
      <c r="H12"/>
      <c r="I12" s="39"/>
      <c r="J12" s="36"/>
      <c r="K12" s="402" t="s">
        <v>323</v>
      </c>
      <c r="L12" s="73">
        <f>IF('Data Entry'!I41&gt;99.999,IF('Data Entry'!I41&lt;500,'Data Entry'!I41,0),0)</f>
        <v>200</v>
      </c>
      <c r="M12" s="402" t="s">
        <v>323</v>
      </c>
      <c r="N12" s="74">
        <f>IF('Data Entry'!L41&gt;99.999,IF('Data Entry'!L41&lt;500,'Data Entry'!L41,0),0)</f>
        <v>0</v>
      </c>
      <c r="O12" s="37"/>
    </row>
    <row r="13" spans="1:15" ht="15.75" customHeight="1">
      <c r="A13" s="36"/>
      <c r="B13" s="36"/>
      <c r="C13" s="53"/>
      <c r="D13" t="s">
        <v>324</v>
      </c>
      <c r="E13"/>
      <c r="F13"/>
      <c r="G13"/>
      <c r="H13"/>
      <c r="I13" s="39"/>
      <c r="J13" s="36"/>
      <c r="K13" s="75" t="s">
        <v>277</v>
      </c>
      <c r="L13" s="73">
        <f>IF(L12&gt;0,ROUND(+L11-L12,4),0)</f>
        <v>300</v>
      </c>
      <c r="M13" s="76" t="s">
        <v>277</v>
      </c>
      <c r="N13" s="74">
        <f>IF(N12&gt;0,ROUND(+N11-N12,4),0)</f>
        <v>0</v>
      </c>
      <c r="O13" s="37"/>
    </row>
    <row r="14" spans="1:15" ht="15.75" customHeight="1">
      <c r="A14" s="36"/>
      <c r="B14" s="36"/>
      <c r="C14" s="53"/>
      <c r="D14" t="s">
        <v>325</v>
      </c>
      <c r="E14"/>
      <c r="F14"/>
      <c r="G14"/>
      <c r="H14"/>
      <c r="I14" s="39"/>
      <c r="J14" s="36"/>
      <c r="K14" s="75" t="s">
        <v>255</v>
      </c>
      <c r="L14" s="73">
        <v>2.9999999999999997E-4</v>
      </c>
      <c r="M14" s="75" t="s">
        <v>255</v>
      </c>
      <c r="N14" s="74">
        <v>4.0000000000000002E-4</v>
      </c>
      <c r="O14" s="37"/>
    </row>
    <row r="15" spans="1:15" ht="15.75" customHeight="1">
      <c r="A15" s="36"/>
      <c r="B15" s="36"/>
      <c r="C15" s="53"/>
      <c r="D15" t="s">
        <v>326</v>
      </c>
      <c r="E15"/>
      <c r="F15"/>
      <c r="G15"/>
      <c r="H15"/>
      <c r="I15" s="39"/>
      <c r="J15" s="36"/>
      <c r="K15" s="75" t="s">
        <v>277</v>
      </c>
      <c r="L15" s="73">
        <f>IF(L12&gt;0,ROUND(L13*L14,4),0)</f>
        <v>0.09</v>
      </c>
      <c r="M15" s="402" t="s">
        <v>277</v>
      </c>
      <c r="N15" s="74">
        <f>IF(N12&gt;0,ROUND(N13*N14,4),0)</f>
        <v>0</v>
      </c>
      <c r="O15" s="37"/>
    </row>
    <row r="16" spans="1:15" ht="15.75" customHeight="1">
      <c r="A16" s="36"/>
      <c r="B16" s="36"/>
      <c r="C16" s="53"/>
      <c r="D16" t="s">
        <v>327</v>
      </c>
      <c r="E16"/>
      <c r="F16"/>
      <c r="G16"/>
      <c r="H16"/>
      <c r="I16" s="39"/>
      <c r="J16" s="36"/>
      <c r="K16" s="75" t="s">
        <v>274</v>
      </c>
      <c r="L16" s="73">
        <v>1.278</v>
      </c>
      <c r="M16" s="75" t="s">
        <v>274</v>
      </c>
      <c r="N16" s="74">
        <v>1.3979999999999999</v>
      </c>
      <c r="O16" s="37"/>
    </row>
    <row r="17" spans="1:15" ht="15.75" customHeight="1" thickBot="1">
      <c r="A17" s="36"/>
      <c r="B17" s="36"/>
      <c r="C17" s="57"/>
      <c r="D17" s="58" t="s">
        <v>328</v>
      </c>
      <c r="E17" s="58"/>
      <c r="F17" s="58"/>
      <c r="G17" s="58"/>
      <c r="H17" s="58"/>
      <c r="I17" s="59"/>
      <c r="J17" s="60"/>
      <c r="K17" s="77" t="s">
        <v>277</v>
      </c>
      <c r="L17" s="78">
        <f>IF(L12&gt;0,ROUND(+L15+L16,4),0)</f>
        <v>1.3680000000000001</v>
      </c>
      <c r="M17" s="63" t="s">
        <v>277</v>
      </c>
      <c r="N17" s="79">
        <f>IF(N12&gt;0,ROUND(+N15+N16,4),0)</f>
        <v>0</v>
      </c>
      <c r="O17" s="37"/>
    </row>
    <row r="18" spans="1:15" ht="15.75" customHeight="1" thickTop="1">
      <c r="A18" s="36"/>
      <c r="B18" s="36"/>
      <c r="C18" s="65" t="s">
        <v>329</v>
      </c>
      <c r="D18"/>
      <c r="E18"/>
      <c r="F18" s="66"/>
      <c r="G18" s="66"/>
      <c r="H18" s="66"/>
      <c r="I18" s="39"/>
      <c r="J18" s="36"/>
      <c r="K18" s="67"/>
      <c r="L18" s="80"/>
      <c r="M18" s="53"/>
      <c r="N18" s="69"/>
      <c r="O18" s="37"/>
    </row>
    <row r="19" spans="1:15" ht="15.75" customHeight="1">
      <c r="A19" s="36"/>
      <c r="B19" s="36"/>
      <c r="C19" s="53"/>
      <c r="D19" t="s">
        <v>321</v>
      </c>
      <c r="E19"/>
      <c r="F19"/>
      <c r="G19"/>
      <c r="H19"/>
      <c r="I19" s="39"/>
      <c r="J19" s="36"/>
      <c r="K19" s="53"/>
      <c r="L19" s="81">
        <v>600</v>
      </c>
      <c r="M19" s="71"/>
      <c r="N19" s="74">
        <v>600</v>
      </c>
      <c r="O19" s="37"/>
    </row>
    <row r="20" spans="1:15" ht="15.75" customHeight="1">
      <c r="A20" s="36"/>
      <c r="B20" s="36"/>
      <c r="C20" s="53"/>
      <c r="D20" t="s">
        <v>322</v>
      </c>
      <c r="E20"/>
      <c r="F20"/>
      <c r="G20"/>
      <c r="H20"/>
      <c r="I20" s="39"/>
      <c r="J20" s="36"/>
      <c r="K20" s="405" t="s">
        <v>323</v>
      </c>
      <c r="L20" s="73">
        <f>IF('Data Entry'!I41&gt;499.999,IF('Data Entry'!I41&lt;600,'Data Entry'!I41,0),0)</f>
        <v>0</v>
      </c>
      <c r="M20" s="402" t="s">
        <v>323</v>
      </c>
      <c r="N20" s="74">
        <f>IF('Data Entry'!L41&gt;499.999,IF('Data Entry'!L41&lt;600,'Data Entry'!L41,0),0)</f>
        <v>0</v>
      </c>
      <c r="O20" s="37"/>
    </row>
    <row r="21" spans="1:15" ht="15.75" customHeight="1">
      <c r="A21" s="36"/>
      <c r="B21" s="36"/>
      <c r="C21" s="53"/>
      <c r="D21" t="s">
        <v>324</v>
      </c>
      <c r="E21"/>
      <c r="F21"/>
      <c r="G21"/>
      <c r="H21"/>
      <c r="I21" s="39"/>
      <c r="J21" s="36"/>
      <c r="K21" s="82" t="s">
        <v>277</v>
      </c>
      <c r="L21" s="73">
        <f>IF(L20&gt;0,ROUND(+L19-L20,4),0)</f>
        <v>0</v>
      </c>
      <c r="M21" s="76" t="s">
        <v>277</v>
      </c>
      <c r="N21" s="74">
        <f>IF(N20&gt;0,ROUND(+N19-N20,4),0)</f>
        <v>0</v>
      </c>
      <c r="O21" s="37"/>
    </row>
    <row r="22" spans="1:15" ht="15.75" customHeight="1">
      <c r="A22" s="36"/>
      <c r="B22" s="36"/>
      <c r="C22" s="53"/>
      <c r="D22" t="s">
        <v>325</v>
      </c>
      <c r="E22"/>
      <c r="F22"/>
      <c r="G22"/>
      <c r="H22"/>
      <c r="I22" s="39"/>
      <c r="J22" s="36"/>
      <c r="K22" s="405" t="s">
        <v>255</v>
      </c>
      <c r="L22" s="73">
        <v>1.1999999999999999E-3</v>
      </c>
      <c r="M22" s="75" t="s">
        <v>255</v>
      </c>
      <c r="N22" s="74">
        <v>1.2999999999999999E-3</v>
      </c>
      <c r="O22" s="37"/>
    </row>
    <row r="23" spans="1:15" ht="15.75" customHeight="1">
      <c r="A23" s="36"/>
      <c r="B23" s="36"/>
      <c r="C23" s="53"/>
      <c r="D23" t="s">
        <v>326</v>
      </c>
      <c r="E23"/>
      <c r="F23"/>
      <c r="G23"/>
      <c r="H23"/>
      <c r="I23" s="39"/>
      <c r="J23" s="36"/>
      <c r="K23" s="82" t="s">
        <v>277</v>
      </c>
      <c r="L23" s="73">
        <f>IF(L20&gt;0,ROUND(L21*L22,4),0)</f>
        <v>0</v>
      </c>
      <c r="M23" s="402" t="s">
        <v>277</v>
      </c>
      <c r="N23" s="74">
        <f>IF(N20&gt;0,ROUND(N21*N22,4),0)</f>
        <v>0</v>
      </c>
      <c r="O23" s="37"/>
    </row>
    <row r="24" spans="1:15" ht="15.75" customHeight="1">
      <c r="A24" s="36"/>
      <c r="B24" s="36"/>
      <c r="C24" s="53"/>
      <c r="D24" t="s">
        <v>327</v>
      </c>
      <c r="E24"/>
      <c r="F24"/>
      <c r="G24"/>
      <c r="H24"/>
      <c r="I24" s="39"/>
      <c r="J24" s="36"/>
      <c r="K24" s="405" t="s">
        <v>274</v>
      </c>
      <c r="L24" s="73">
        <v>1.1579999999999999</v>
      </c>
      <c r="M24" s="402" t="s">
        <v>274</v>
      </c>
      <c r="N24" s="74">
        <v>1.268</v>
      </c>
      <c r="O24" s="37"/>
    </row>
    <row r="25" spans="1:15" ht="15.75" customHeight="1" thickBot="1">
      <c r="A25" s="36"/>
      <c r="B25" s="36"/>
      <c r="C25" s="57"/>
      <c r="D25" s="58" t="s">
        <v>328</v>
      </c>
      <c r="E25" s="58"/>
      <c r="F25" s="58"/>
      <c r="G25" s="58"/>
      <c r="H25" s="58"/>
      <c r="I25" s="59"/>
      <c r="J25" s="60"/>
      <c r="K25" s="83" t="s">
        <v>277</v>
      </c>
      <c r="L25" s="78">
        <f>IF(L20&gt;0,ROUND(+L23+L24,4),0)</f>
        <v>0</v>
      </c>
      <c r="M25" s="77" t="s">
        <v>277</v>
      </c>
      <c r="N25" s="64">
        <f>IF(N20&gt;0,ROUND(+N23+N24,4),0)</f>
        <v>0</v>
      </c>
      <c r="O25" s="37"/>
    </row>
    <row r="26" spans="1:15" ht="15.75" customHeight="1" thickTop="1">
      <c r="A26" s="36"/>
      <c r="B26" s="36"/>
      <c r="C26" s="65" t="s">
        <v>330</v>
      </c>
      <c r="D26"/>
      <c r="E26"/>
      <c r="F26" s="84"/>
      <c r="G26" s="84"/>
      <c r="H26" s="66"/>
      <c r="I26" s="39"/>
      <c r="J26" s="36"/>
      <c r="K26" s="67"/>
      <c r="L26" s="85"/>
      <c r="M26" s="65"/>
      <c r="N26" s="69"/>
      <c r="O26" s="37"/>
    </row>
    <row r="27" spans="1:15" ht="15.75" customHeight="1" thickBot="1">
      <c r="A27" s="36"/>
      <c r="B27" s="36"/>
      <c r="C27" s="86"/>
      <c r="D27" s="58" t="s">
        <v>328</v>
      </c>
      <c r="E27" s="58"/>
      <c r="F27" s="58"/>
      <c r="G27" s="58"/>
      <c r="H27" s="58"/>
      <c r="I27" s="59"/>
      <c r="J27" s="60"/>
      <c r="K27" s="63"/>
      <c r="L27" s="62">
        <v>1.1579999999999999</v>
      </c>
      <c r="M27" s="63"/>
      <c r="N27" s="64">
        <v>1.268</v>
      </c>
      <c r="O27" s="37"/>
    </row>
    <row r="28" spans="1:15" ht="15.75" customHeight="1" thickTop="1">
      <c r="A28" s="36"/>
      <c r="B28" s="36"/>
      <c r="C28" s="87"/>
      <c r="D28"/>
      <c r="E28"/>
      <c r="F28"/>
      <c r="G28"/>
      <c r="H28"/>
      <c r="I28" s="39"/>
      <c r="J28" s="36"/>
      <c r="K28"/>
      <c r="L28"/>
      <c r="M28"/>
      <c r="N28"/>
      <c r="O28" s="37"/>
    </row>
    <row r="29" spans="1:15" ht="15.75" customHeight="1">
      <c r="A29" s="36"/>
      <c r="B29" s="36"/>
      <c r="C29" s="87"/>
      <c r="D29"/>
      <c r="E29"/>
      <c r="F29"/>
      <c r="G29"/>
      <c r="H29"/>
      <c r="I29" s="39"/>
      <c r="J29" s="36"/>
      <c r="K29"/>
      <c r="L29"/>
      <c r="M29"/>
      <c r="N29"/>
      <c r="O29" s="37"/>
    </row>
    <row r="30" spans="1:15" ht="15.75" customHeight="1">
      <c r="A30" s="36"/>
      <c r="B30" s="36"/>
      <c r="C30" s="87"/>
      <c r="D30"/>
      <c r="E30"/>
      <c r="F30"/>
      <c r="G30"/>
      <c r="H30"/>
      <c r="I30" s="39"/>
      <c r="J30" s="36"/>
      <c r="K30"/>
      <c r="L30"/>
      <c r="M30"/>
      <c r="N30"/>
      <c r="O30" s="37"/>
    </row>
    <row r="31" spans="1:15" ht="15.75" customHeight="1">
      <c r="A31" s="36"/>
      <c r="B31" s="36"/>
      <c r="C31" s="40" t="s">
        <v>331</v>
      </c>
      <c r="D31" s="40"/>
      <c r="E31" s="40"/>
      <c r="F31" s="40"/>
      <c r="G31" s="40"/>
      <c r="H31" s="40"/>
      <c r="I31" s="88"/>
      <c r="J31" s="399"/>
      <c r="K31" s="40"/>
      <c r="L31" s="40"/>
      <c r="M31" s="40"/>
      <c r="N31" s="40"/>
      <c r="O31" s="89"/>
    </row>
    <row r="32" spans="1:15" ht="15.75" customHeight="1" thickBot="1">
      <c r="A32" s="36"/>
      <c r="B32" s="36"/>
      <c r="C32" s="45" t="s">
        <v>317</v>
      </c>
      <c r="D32" s="45"/>
      <c r="E32" s="46"/>
      <c r="F32" s="46"/>
      <c r="G32" s="46"/>
      <c r="H32" s="46"/>
      <c r="I32" s="47"/>
      <c r="J32" s="48"/>
      <c r="K32" s="49"/>
      <c r="L32" s="50" t="s">
        <v>270</v>
      </c>
      <c r="M32" s="90"/>
      <c r="N32" s="52" t="s">
        <v>271</v>
      </c>
      <c r="O32" s="37"/>
    </row>
    <row r="33" spans="1:15" ht="15.75" customHeight="1" thickTop="1">
      <c r="A33" s="36"/>
      <c r="B33" s="36"/>
      <c r="C33" s="53" t="s">
        <v>332</v>
      </c>
      <c r="D33"/>
      <c r="E33"/>
      <c r="F33" s="54"/>
      <c r="G33" s="54"/>
      <c r="H33" s="54"/>
      <c r="I33" s="39"/>
      <c r="J33" s="36"/>
      <c r="K33" s="53"/>
      <c r="L33"/>
      <c r="M33" s="53"/>
      <c r="N33" s="91"/>
      <c r="O33" s="37"/>
    </row>
    <row r="34" spans="1:15" ht="15.75" customHeight="1" thickBot="1">
      <c r="A34" s="36"/>
      <c r="B34" s="36"/>
      <c r="C34" s="57"/>
      <c r="D34" s="58" t="s">
        <v>319</v>
      </c>
      <c r="E34" s="58"/>
      <c r="F34" s="58"/>
      <c r="G34" s="58"/>
      <c r="H34" s="58"/>
      <c r="I34" s="59"/>
      <c r="J34" s="60"/>
      <c r="K34" s="63"/>
      <c r="L34" s="62">
        <v>1.399</v>
      </c>
      <c r="M34" s="63"/>
      <c r="N34" s="64">
        <v>1.5589999999999999</v>
      </c>
      <c r="O34" s="37"/>
    </row>
    <row r="35" spans="1:15" ht="15.75" customHeight="1" thickTop="1">
      <c r="A35" s="36"/>
      <c r="B35" s="36"/>
      <c r="C35" s="65" t="s">
        <v>320</v>
      </c>
      <c r="D35"/>
      <c r="E35"/>
      <c r="F35" s="66"/>
      <c r="G35" s="66"/>
      <c r="H35" s="66"/>
      <c r="I35" s="39"/>
      <c r="J35" s="36"/>
      <c r="K35" s="92"/>
      <c r="L35" s="68"/>
      <c r="M35" s="53"/>
      <c r="N35" s="69"/>
      <c r="O35" s="37"/>
    </row>
    <row r="36" spans="1:15" ht="15.75" customHeight="1">
      <c r="A36" s="36"/>
      <c r="B36" s="36"/>
      <c r="C36" s="53"/>
      <c r="D36" t="s">
        <v>321</v>
      </c>
      <c r="E36"/>
      <c r="F36"/>
      <c r="G36"/>
      <c r="H36"/>
      <c r="I36" s="39"/>
      <c r="J36" s="36"/>
      <c r="K36" s="400"/>
      <c r="L36" s="81">
        <v>500</v>
      </c>
      <c r="M36" s="402"/>
      <c r="N36" s="74">
        <v>500</v>
      </c>
      <c r="O36" s="37"/>
    </row>
    <row r="37" spans="1:15" ht="15.75" customHeight="1">
      <c r="A37" s="36"/>
      <c r="B37" s="36"/>
      <c r="C37" s="53"/>
      <c r="D37" t="s">
        <v>322</v>
      </c>
      <c r="E37"/>
      <c r="F37"/>
      <c r="G37"/>
      <c r="H37"/>
      <c r="I37" s="39"/>
      <c r="J37" s="36"/>
      <c r="K37" s="400" t="s">
        <v>323</v>
      </c>
      <c r="L37" s="73">
        <f>IF('Data Entry'!I50&gt;99.999,IF('Data Entry'!I50&lt;500,'Data Entry'!I50,0),0)</f>
        <v>0</v>
      </c>
      <c r="M37" s="400" t="s">
        <v>323</v>
      </c>
      <c r="N37" s="74">
        <f>IF('Data Entry'!L50&gt;99.999,IF('Data Entry'!L50&lt;500,'Data Entry'!L50,0),0)</f>
        <v>0</v>
      </c>
      <c r="O37" s="37"/>
    </row>
    <row r="38" spans="1:15" ht="15.75" customHeight="1">
      <c r="A38" s="36"/>
      <c r="B38" s="36"/>
      <c r="C38" s="53"/>
      <c r="D38" t="s">
        <v>324</v>
      </c>
      <c r="E38"/>
      <c r="F38"/>
      <c r="G38"/>
      <c r="H38"/>
      <c r="I38" s="39"/>
      <c r="J38" s="36"/>
      <c r="K38" s="400" t="s">
        <v>277</v>
      </c>
      <c r="L38" s="73">
        <f>IF(L37&gt;0,ROUND(+L36-L37,4),0)</f>
        <v>0</v>
      </c>
      <c r="M38" s="400" t="s">
        <v>277</v>
      </c>
      <c r="N38" s="74">
        <f>IF(N37&gt;0,ROUND(+N36-N37,4),0)</f>
        <v>0</v>
      </c>
      <c r="O38" s="37"/>
    </row>
    <row r="39" spans="1:15" ht="15.75" customHeight="1">
      <c r="A39" s="36"/>
      <c r="B39" s="36"/>
      <c r="C39" s="53"/>
      <c r="D39" t="s">
        <v>325</v>
      </c>
      <c r="E39"/>
      <c r="F39"/>
      <c r="G39"/>
      <c r="H39"/>
      <c r="I39" s="39"/>
      <c r="J39" s="36"/>
      <c r="K39" s="400" t="s">
        <v>255</v>
      </c>
      <c r="L39" s="73">
        <v>2.9999999999999997E-4</v>
      </c>
      <c r="M39" s="400" t="s">
        <v>255</v>
      </c>
      <c r="N39" s="74">
        <v>4.0000000000000002E-4</v>
      </c>
      <c r="O39" s="37"/>
    </row>
    <row r="40" spans="1:15" ht="15.75" customHeight="1">
      <c r="A40" s="36"/>
      <c r="B40" s="36"/>
      <c r="C40" s="53"/>
      <c r="D40" t="s">
        <v>326</v>
      </c>
      <c r="E40"/>
      <c r="F40"/>
      <c r="G40"/>
      <c r="H40"/>
      <c r="I40" s="39"/>
      <c r="J40" s="36"/>
      <c r="K40" s="400" t="s">
        <v>277</v>
      </c>
      <c r="L40" s="73">
        <f>IF(L37&gt;0,ROUND(L38*L39,4),0)</f>
        <v>0</v>
      </c>
      <c r="M40" s="400" t="s">
        <v>277</v>
      </c>
      <c r="N40" s="74">
        <f>IF(N37&gt;0,ROUND(N38*N39,4),0)</f>
        <v>0</v>
      </c>
      <c r="O40" s="37"/>
    </row>
    <row r="41" spans="1:15" ht="15.75" customHeight="1">
      <c r="A41" s="36"/>
      <c r="B41" s="36"/>
      <c r="C41" s="53"/>
      <c r="D41" t="s">
        <v>327</v>
      </c>
      <c r="E41"/>
      <c r="F41"/>
      <c r="G41"/>
      <c r="H41"/>
      <c r="I41" s="39"/>
      <c r="J41" s="36"/>
      <c r="K41" s="400" t="s">
        <v>274</v>
      </c>
      <c r="L41" s="73">
        <v>1.278</v>
      </c>
      <c r="M41" s="400" t="s">
        <v>274</v>
      </c>
      <c r="N41" s="74">
        <v>1.3979999999999999</v>
      </c>
      <c r="O41" s="37"/>
    </row>
    <row r="42" spans="1:15" ht="15.75" customHeight="1" thickBot="1">
      <c r="A42" s="36"/>
      <c r="B42" s="36"/>
      <c r="C42" s="57"/>
      <c r="D42" s="58" t="s">
        <v>328</v>
      </c>
      <c r="E42" s="58"/>
      <c r="F42" s="58"/>
      <c r="G42" s="58"/>
      <c r="H42" s="58"/>
      <c r="I42" s="59"/>
      <c r="J42" s="60"/>
      <c r="K42" s="83" t="s">
        <v>277</v>
      </c>
      <c r="L42" s="78">
        <f>IF(L37&gt;0,ROUND(+L40+L41,4),0)</f>
        <v>0</v>
      </c>
      <c r="M42" s="83" t="s">
        <v>277</v>
      </c>
      <c r="N42" s="64">
        <f>IF(N37&gt;0,ROUND(+N40+N41,4),0)</f>
        <v>0</v>
      </c>
      <c r="O42" s="37"/>
    </row>
    <row r="43" spans="1:15" ht="15.75" customHeight="1" thickTop="1">
      <c r="A43" s="36"/>
      <c r="B43" s="36"/>
      <c r="C43" s="65" t="s">
        <v>329</v>
      </c>
      <c r="D43"/>
      <c r="E43"/>
      <c r="F43" s="66"/>
      <c r="G43" s="66"/>
      <c r="H43" s="66"/>
      <c r="I43" s="39"/>
      <c r="J43" s="36"/>
      <c r="K43" s="67"/>
      <c r="L43" s="68"/>
      <c r="M43" s="53"/>
      <c r="N43" s="69"/>
      <c r="O43" s="37"/>
    </row>
    <row r="44" spans="1:15" ht="15.75" customHeight="1">
      <c r="A44" s="36"/>
      <c r="B44" s="36"/>
      <c r="C44" s="53"/>
      <c r="D44" t="s">
        <v>321</v>
      </c>
      <c r="E44"/>
      <c r="F44"/>
      <c r="G44"/>
      <c r="H44"/>
      <c r="I44" s="39"/>
      <c r="J44" s="36"/>
      <c r="K44" s="400"/>
      <c r="L44" s="81">
        <v>600</v>
      </c>
      <c r="M44" s="402"/>
      <c r="N44" s="74">
        <v>600</v>
      </c>
      <c r="O44" s="37"/>
    </row>
    <row r="45" spans="1:15" ht="15.75" customHeight="1">
      <c r="A45" s="36"/>
      <c r="B45" s="36"/>
      <c r="C45" s="53"/>
      <c r="D45" t="s">
        <v>322</v>
      </c>
      <c r="E45"/>
      <c r="F45"/>
      <c r="G45"/>
      <c r="H45"/>
      <c r="I45" s="39"/>
      <c r="J45" s="36"/>
      <c r="K45" s="400" t="s">
        <v>323</v>
      </c>
      <c r="L45" s="73">
        <f>IF('Data Entry'!I50&gt;499.999,IF('Data Entry'!I50&lt;600,'Data Entry'!I50,0),0)</f>
        <v>0</v>
      </c>
      <c r="M45" s="400" t="s">
        <v>323</v>
      </c>
      <c r="N45" s="74">
        <f>IF('Data Entry'!L50&gt;499.999,IF('Data Entry'!L50&lt;600,'Data Entry'!L50,0),0)</f>
        <v>0</v>
      </c>
      <c r="O45" s="37"/>
    </row>
    <row r="46" spans="1:15" ht="15.75" customHeight="1">
      <c r="A46" s="36"/>
      <c r="B46" s="36"/>
      <c r="C46" s="53"/>
      <c r="D46" t="s">
        <v>324</v>
      </c>
      <c r="E46"/>
      <c r="F46"/>
      <c r="G46"/>
      <c r="H46"/>
      <c r="I46" s="39"/>
      <c r="J46" s="36"/>
      <c r="K46" s="400" t="s">
        <v>277</v>
      </c>
      <c r="L46" s="73">
        <f>IF(L45&gt;0,ROUND(+L44-L45,4),0)</f>
        <v>0</v>
      </c>
      <c r="M46" s="400" t="s">
        <v>277</v>
      </c>
      <c r="N46" s="74">
        <f>IF(N45&gt;0,ROUND(+N44-N45,4),0)</f>
        <v>0</v>
      </c>
      <c r="O46" s="37"/>
    </row>
    <row r="47" spans="1:15" ht="15.75" customHeight="1">
      <c r="A47" s="36"/>
      <c r="B47" s="36"/>
      <c r="C47" s="53"/>
      <c r="D47" t="s">
        <v>325</v>
      </c>
      <c r="E47"/>
      <c r="F47"/>
      <c r="G47"/>
      <c r="H47"/>
      <c r="I47" s="39"/>
      <c r="J47" s="36"/>
      <c r="K47" s="400" t="s">
        <v>255</v>
      </c>
      <c r="L47" s="73">
        <v>1.1999999999999999E-3</v>
      </c>
      <c r="M47" s="400" t="s">
        <v>255</v>
      </c>
      <c r="N47" s="74">
        <v>1.2999999999999999E-3</v>
      </c>
      <c r="O47" s="37"/>
    </row>
    <row r="48" spans="1:15" ht="15.75" customHeight="1">
      <c r="A48" s="36"/>
      <c r="B48" s="36"/>
      <c r="C48" s="53"/>
      <c r="D48" t="s">
        <v>326</v>
      </c>
      <c r="E48"/>
      <c r="F48"/>
      <c r="G48"/>
      <c r="H48"/>
      <c r="I48" s="39"/>
      <c r="J48" s="36"/>
      <c r="K48" s="400" t="s">
        <v>277</v>
      </c>
      <c r="L48" s="73">
        <f>IF(L45&gt;0,ROUND(L46*L47,4),0)</f>
        <v>0</v>
      </c>
      <c r="M48" s="400" t="s">
        <v>277</v>
      </c>
      <c r="N48" s="74">
        <f>IF(N45&gt;0,ROUND(N46*N47,4),0)</f>
        <v>0</v>
      </c>
      <c r="O48" s="37"/>
    </row>
    <row r="49" spans="1:31" ht="15.75" customHeight="1">
      <c r="A49" s="36"/>
      <c r="B49" s="36"/>
      <c r="C49" s="53"/>
      <c r="D49" t="s">
        <v>327</v>
      </c>
      <c r="E49"/>
      <c r="F49"/>
      <c r="G49"/>
      <c r="H49"/>
      <c r="I49" s="39"/>
      <c r="J49" s="36"/>
      <c r="K49" s="400" t="s">
        <v>274</v>
      </c>
      <c r="L49" s="73">
        <v>1.1579999999999999</v>
      </c>
      <c r="M49" s="400" t="s">
        <v>274</v>
      </c>
      <c r="N49" s="74">
        <v>1.268</v>
      </c>
      <c r="O49" s="37"/>
    </row>
    <row r="50" spans="1:31" ht="15.75" customHeight="1" thickBot="1">
      <c r="A50" s="36"/>
      <c r="B50" s="36"/>
      <c r="C50" s="57"/>
      <c r="D50" s="58" t="s">
        <v>328</v>
      </c>
      <c r="E50" s="58"/>
      <c r="F50" s="58"/>
      <c r="G50" s="58"/>
      <c r="H50" s="58"/>
      <c r="I50" s="59"/>
      <c r="J50" s="60"/>
      <c r="K50" s="83" t="s">
        <v>277</v>
      </c>
      <c r="L50" s="78">
        <f>IF(L45&gt;0,ROUND(+L48+L49,4),0)</f>
        <v>0</v>
      </c>
      <c r="M50" s="83" t="s">
        <v>277</v>
      </c>
      <c r="N50" s="64">
        <f>IF(N45&gt;0,ROUND(+N48+N49,4),0)</f>
        <v>0</v>
      </c>
      <c r="O50" s="37"/>
    </row>
    <row r="51" spans="1:31" ht="15.75" customHeight="1" thickTop="1">
      <c r="A51" s="36"/>
      <c r="B51" s="36"/>
      <c r="C51" s="65" t="s">
        <v>330</v>
      </c>
      <c r="D51"/>
      <c r="E51"/>
      <c r="F51" s="84"/>
      <c r="G51" s="84"/>
      <c r="H51" s="66"/>
      <c r="I51" s="39"/>
      <c r="J51" s="36"/>
      <c r="K51" s="67"/>
      <c r="L51" s="80"/>
      <c r="M51" s="53"/>
      <c r="N51" s="69"/>
      <c r="O51" s="37"/>
    </row>
    <row r="52" spans="1:31" ht="15.75" customHeight="1" thickBot="1">
      <c r="A52" s="36"/>
      <c r="B52" s="36"/>
      <c r="C52" s="86"/>
      <c r="D52" s="58" t="s">
        <v>328</v>
      </c>
      <c r="E52" s="58"/>
      <c r="F52" s="58"/>
      <c r="G52" s="58"/>
      <c r="H52" s="58"/>
      <c r="I52" s="59"/>
      <c r="J52" s="60"/>
      <c r="K52" s="63"/>
      <c r="L52" s="62">
        <v>1.1579999999999999</v>
      </c>
      <c r="M52" s="93"/>
      <c r="N52" s="64">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4" t="s">
        <v>333</v>
      </c>
      <c r="C56" s="94"/>
      <c r="D56"/>
      <c r="E56"/>
      <c r="F56"/>
      <c r="G56" s="39"/>
      <c r="H56" s="36"/>
      <c r="I56" s="39"/>
      <c r="J56" s="36"/>
      <c r="K56" s="36"/>
      <c r="L56" s="37"/>
      <c r="M56" s="37"/>
      <c r="N56" s="36"/>
      <c r="O56" s="37"/>
    </row>
    <row r="57" spans="1:31" ht="15.75" customHeight="1">
      <c r="A57" s="36"/>
      <c r="B57" s="391">
        <v>1</v>
      </c>
      <c r="C57" t="s">
        <v>334</v>
      </c>
      <c r="D57"/>
      <c r="E57"/>
      <c r="F57"/>
      <c r="G57" s="39"/>
      <c r="H57" s="36"/>
      <c r="I57" s="39"/>
      <c r="J57" s="36"/>
      <c r="K57" s="36"/>
      <c r="L57" s="95">
        <f>IF('Data Entry'!I41&gt;0,IF('Data Entry'!I41&lt;100,L9,IF('Data Entry'!I41&lt;500,L17,IF('Data Entry'!I41&lt;600,L25,L27))),0)</f>
        <v>1.3680000000000001</v>
      </c>
      <c r="M57" s="37"/>
      <c r="N57" s="70">
        <f>IF('Data Entry'!L41&gt;0,IF('Data Entry'!L41&lt;100,N9,IF('Data Entry'!L41&lt;500,N17,IF('Data Entry'!L41&lt;600,N25,N27))),0)</f>
        <v>0</v>
      </c>
      <c r="O57" s="37"/>
    </row>
    <row r="58" spans="1:31" ht="15.75" customHeight="1">
      <c r="A58" s="36"/>
      <c r="B58" s="391">
        <v>2</v>
      </c>
      <c r="C58" t="s">
        <v>335</v>
      </c>
      <c r="D58"/>
      <c r="E58"/>
      <c r="F58"/>
      <c r="G58" s="39"/>
      <c r="H58" s="36"/>
      <c r="I58" s="39"/>
      <c r="J58" s="36"/>
      <c r="K58" s="36"/>
      <c r="L58" s="70">
        <f>IF(AND('Data Entry'!I50=0,'Data Entry'!$A$27="X"),1.158,IF('Data Entry'!I50&gt;0,IF('Data Entry'!I50&lt;100,L34,IF('Data Entry'!I50&lt;500,L42,IF('Data Entry'!I50&lt;600,L50,L52))),0))</f>
        <v>0</v>
      </c>
      <c r="M58" s="37"/>
      <c r="N58" s="70">
        <f>IF(AND('Data Entry'!L50=0,'Data Entry'!$A$27="X"),1.268,IF('Data Entry'!L50&gt;0,IF('Data Entry'!L50&lt;100,N34,IF('Data Entry'!L50&lt;500,N42,IF('Data Entry'!L50&lt;600,N50,N52))),0))</f>
        <v>0</v>
      </c>
      <c r="O58" s="37"/>
    </row>
    <row r="59" spans="1:31" ht="15.75" customHeight="1">
      <c r="A59" s="36"/>
      <c r="B59" s="391">
        <v>3</v>
      </c>
      <c r="C59" s="96" t="s">
        <v>336</v>
      </c>
      <c r="D59" s="97"/>
      <c r="E59" s="97"/>
      <c r="F59" s="97"/>
      <c r="G59" s="98"/>
      <c r="H59" s="99"/>
      <c r="I59" s="98"/>
      <c r="J59" s="99"/>
      <c r="K59" s="99"/>
      <c r="L59" s="70">
        <f>IF(StudCntK8CY=0,0,IF(OR('Data Entry'!B29="X",'Data Entry'!B30="X",'Data Entry'!B31="X",'Data Entry'!B32="X"),Calculations!L58,Calculations!L57))</f>
        <v>1.3680000000000001</v>
      </c>
      <c r="M59" s="100"/>
      <c r="N59" s="70">
        <f>IF(StudCnt912CY=0,0,IF(OR('Data Entry'!B29="X",'Data Entry'!B30="X",'Data Entry'!B31="X",'Data Entry'!B32="X"),Calculations!N58,Calculations!N57))</f>
        <v>0</v>
      </c>
      <c r="O59" s="37"/>
    </row>
    <row r="61" spans="1:31" ht="12.75">
      <c r="A61" s="94"/>
      <c r="C61" s="94"/>
      <c r="D61" s="94"/>
      <c r="E61" s="94"/>
      <c r="F61" s="94"/>
    </row>
    <row r="62" spans="1:31" ht="12.75">
      <c r="A62" s="94"/>
      <c r="B62" s="101" t="s">
        <v>337</v>
      </c>
      <c r="C62" s="94"/>
      <c r="D62" s="94"/>
      <c r="E62" s="94"/>
      <c r="F62" s="94"/>
      <c r="T62" s="480"/>
      <c r="U62" s="480"/>
      <c r="V62" s="480"/>
      <c r="W62" s="480"/>
      <c r="X62" s="480"/>
      <c r="Y62" s="480"/>
      <c r="Z62" s="480"/>
      <c r="AA62" s="480"/>
      <c r="AB62" s="480"/>
      <c r="AC62" s="480"/>
      <c r="AD62" s="480"/>
      <c r="AE62" s="480"/>
    </row>
    <row r="63" spans="1:31" ht="12.75" customHeight="1">
      <c r="B63" s="617" t="s">
        <v>338</v>
      </c>
      <c r="C63" s="617"/>
      <c r="D63" s="617"/>
      <c r="E63" s="617"/>
      <c r="F63" s="617"/>
      <c r="G63" s="617"/>
      <c r="H63" s="617"/>
      <c r="I63" s="617"/>
      <c r="J63" s="617"/>
      <c r="K63" s="617"/>
      <c r="L63" s="617"/>
      <c r="M63" s="617"/>
      <c r="N63" s="617"/>
      <c r="O63" s="617"/>
      <c r="P63" s="102"/>
    </row>
    <row r="64" spans="1:31" ht="12.75" customHeight="1">
      <c r="B64" s="617"/>
      <c r="C64" s="617"/>
      <c r="D64" s="617"/>
      <c r="E64" s="617"/>
      <c r="F64" s="617"/>
      <c r="G64" s="617"/>
      <c r="H64" s="617"/>
      <c r="I64" s="617"/>
      <c r="J64" s="617"/>
      <c r="K64" s="617"/>
      <c r="L64" s="617"/>
      <c r="M64" s="617"/>
      <c r="N64" s="617"/>
      <c r="O64" s="617"/>
      <c r="P64" s="102"/>
    </row>
    <row r="65" spans="1:26" ht="12.75" customHeight="1">
      <c r="B65" s="617"/>
      <c r="C65" s="617"/>
      <c r="D65" s="617"/>
      <c r="E65" s="617"/>
      <c r="F65" s="617"/>
      <c r="G65" s="617"/>
      <c r="H65" s="617"/>
      <c r="I65" s="617"/>
      <c r="J65" s="617"/>
      <c r="K65" s="617"/>
      <c r="L65" s="617"/>
      <c r="M65" s="617"/>
      <c r="N65" s="617"/>
      <c r="O65" s="617"/>
      <c r="P65" s="102"/>
    </row>
    <row r="66" spans="1:26" ht="12.75" customHeight="1">
      <c r="B66" s="617"/>
      <c r="C66" s="617"/>
      <c r="D66" s="617"/>
      <c r="E66" s="617"/>
      <c r="F66" s="617"/>
      <c r="G66" s="617"/>
      <c r="H66" s="617"/>
      <c r="I66" s="617"/>
      <c r="J66" s="617"/>
      <c r="K66" s="617"/>
      <c r="L66" s="617"/>
      <c r="M66" s="617"/>
      <c r="N66" s="617"/>
      <c r="O66" s="617"/>
      <c r="P66" s="102"/>
    </row>
    <row r="67" spans="1:26" ht="12.75" customHeight="1">
      <c r="B67" s="617"/>
      <c r="C67" s="617"/>
      <c r="D67" s="617"/>
      <c r="E67" s="617"/>
      <c r="F67" s="617"/>
      <c r="G67" s="617"/>
      <c r="H67" s="617"/>
      <c r="I67" s="617"/>
      <c r="J67" s="617"/>
      <c r="K67" s="617"/>
      <c r="L67" s="617"/>
      <c r="M67" s="617"/>
      <c r="N67" s="617"/>
      <c r="O67" s="617"/>
      <c r="P67" s="102"/>
    </row>
    <row r="68" spans="1:26" ht="18" customHeight="1">
      <c r="B68" s="617"/>
      <c r="C68" s="617"/>
      <c r="D68" s="617"/>
      <c r="E68" s="617"/>
      <c r="F68" s="617"/>
      <c r="G68" s="617"/>
      <c r="H68" s="617"/>
      <c r="I68" s="617"/>
      <c r="J68" s="617"/>
      <c r="K68" s="617"/>
      <c r="L68" s="617"/>
      <c r="M68" s="617"/>
      <c r="N68" s="617"/>
      <c r="O68" s="617"/>
      <c r="P68" s="102"/>
    </row>
    <row r="69" spans="1:26" ht="12.75" customHeight="1">
      <c r="B69" s="103"/>
      <c r="C69" s="103"/>
      <c r="D69" s="103"/>
      <c r="E69" s="103"/>
      <c r="F69" s="103"/>
      <c r="G69" s="103"/>
      <c r="H69" s="103"/>
      <c r="I69" s="103"/>
      <c r="J69" s="103"/>
      <c r="K69" s="103"/>
      <c r="L69" s="103"/>
      <c r="M69" s="103"/>
      <c r="N69" s="103"/>
      <c r="O69" s="103"/>
      <c r="P69" s="102"/>
    </row>
    <row r="70" spans="1:26" ht="12.75">
      <c r="B70" s="478" t="s">
        <v>339</v>
      </c>
      <c r="C70" s="478"/>
      <c r="D70" s="478"/>
      <c r="E70" s="478"/>
      <c r="F70" s="478"/>
      <c r="G70" s="478"/>
      <c r="H70"/>
      <c r="M70" s="4"/>
      <c r="N70" s="104"/>
      <c r="V70" s="105"/>
      <c r="W70" s="105"/>
      <c r="X70" s="105"/>
      <c r="Y70" s="105"/>
      <c r="Z70" s="105"/>
    </row>
    <row r="71" spans="1:26" ht="12.75" customHeight="1">
      <c r="B71"/>
      <c r="C71"/>
      <c r="D71"/>
      <c r="E71" s="4"/>
      <c r="F71" s="106" t="s">
        <v>286</v>
      </c>
      <c r="G71" s="394" t="s">
        <v>285</v>
      </c>
      <c r="H71" s="107"/>
      <c r="M71" s="4"/>
      <c r="N71" s="104"/>
      <c r="R71" s="4"/>
    </row>
    <row r="72" spans="1:26" ht="12.75">
      <c r="B72" t="s">
        <v>340</v>
      </c>
      <c r="C72"/>
      <c r="D72"/>
      <c r="E72" s="108"/>
      <c r="F72" s="109">
        <f>'Data Entry'!I60*0.06</f>
        <v>5.173</v>
      </c>
      <c r="G72" s="110">
        <f>NonAOIStudCntK3Read*0.04</f>
        <v>3.4489999999999998</v>
      </c>
      <c r="H72" s="111"/>
      <c r="N72" s="112"/>
      <c r="R72" s="108"/>
    </row>
    <row r="73" spans="1:26" ht="12.75" customHeight="1">
      <c r="B73" t="s">
        <v>341</v>
      </c>
      <c r="C73"/>
      <c r="D73"/>
      <c r="E73" s="108"/>
      <c r="F73" s="109">
        <f>'Data Entry'!J60*0.06*0.95</f>
        <v>0</v>
      </c>
      <c r="G73" s="110">
        <f>AOIFTStudCntK3Read*0.04*0.95</f>
        <v>0</v>
      </c>
      <c r="H73" s="111"/>
      <c r="M73" s="4"/>
      <c r="N73" s="104"/>
      <c r="Q73"/>
      <c r="R73" s="108"/>
    </row>
    <row r="74" spans="1:26" ht="12.75" customHeight="1">
      <c r="B74" t="s">
        <v>342</v>
      </c>
      <c r="C74" s="113"/>
      <c r="D74" s="113"/>
      <c r="E74" s="108"/>
      <c r="F74" s="109">
        <f>'Data Entry'!K60*0.06*0.85</f>
        <v>0</v>
      </c>
      <c r="G74" s="110">
        <f>AOIPTStudCntK3Read*0.04*0.85</f>
        <v>0</v>
      </c>
      <c r="H74" s="111"/>
      <c r="I74"/>
      <c r="L74" t="s">
        <v>286</v>
      </c>
      <c r="M74" s="114" t="s">
        <v>6</v>
      </c>
      <c r="N74" s="115">
        <f>'BSA55'!H50*F75</f>
        <v>26450.89</v>
      </c>
      <c r="Q74" s="4"/>
      <c r="R74" s="108"/>
    </row>
    <row r="75" spans="1:26" ht="12.75">
      <c r="B75" t="s">
        <v>238</v>
      </c>
      <c r="C75" s="113"/>
      <c r="D75" s="113"/>
      <c r="E75" s="108"/>
      <c r="F75" s="109">
        <f>SUM(F72:F74)</f>
        <v>5.173</v>
      </c>
      <c r="G75" s="110">
        <f>SUM(G72:G74)</f>
        <v>3.4489999999999998</v>
      </c>
      <c r="H75" s="111"/>
      <c r="I75"/>
      <c r="L75" t="s">
        <v>285</v>
      </c>
      <c r="M75" s="114" t="s">
        <v>6</v>
      </c>
      <c r="N75" s="116">
        <f>'BSA55'!H50*G75</f>
        <v>17635.63</v>
      </c>
      <c r="P75"/>
      <c r="Q75" s="108"/>
      <c r="R75" s="108"/>
    </row>
    <row r="76" spans="1:26" ht="12.75" customHeight="1">
      <c r="B76" s="113"/>
      <c r="C76" s="113"/>
      <c r="D76" s="113"/>
      <c r="E76"/>
      <c r="F76" s="113"/>
      <c r="G76" s="113"/>
      <c r="H76" s="113"/>
      <c r="I76"/>
      <c r="M76" s="4"/>
      <c r="N76" s="104"/>
      <c r="P76"/>
      <c r="Q76" s="108"/>
    </row>
    <row r="77" spans="1:26" ht="12.75" customHeight="1">
      <c r="A77" s="117"/>
      <c r="B77" s="616" t="s">
        <v>343</v>
      </c>
      <c r="C77" s="616"/>
      <c r="D77" s="616"/>
      <c r="E77" s="616"/>
      <c r="F77" s="616"/>
      <c r="G77" s="616"/>
      <c r="H77" s="113"/>
      <c r="I77"/>
      <c r="M77" s="4"/>
      <c r="N77" s="104"/>
      <c r="P77"/>
      <c r="Q77" s="108"/>
    </row>
    <row r="78" spans="1:26" ht="12.75">
      <c r="A78" s="118"/>
      <c r="B78" s="616"/>
      <c r="C78" s="616"/>
      <c r="D78" s="616"/>
      <c r="E78" s="616"/>
      <c r="F78" s="616"/>
      <c r="G78" s="616"/>
      <c r="H78"/>
      <c r="I78"/>
      <c r="M78" s="4"/>
      <c r="N78" s="104"/>
      <c r="P78"/>
      <c r="Q78" s="108"/>
    </row>
    <row r="79" spans="1:26" ht="12.75" customHeight="1">
      <c r="A79" s="118"/>
      <c r="B79" s="118"/>
      <c r="C79" s="118"/>
      <c r="M79" s="119"/>
      <c r="N79" s="120"/>
      <c r="P79" s="505"/>
      <c r="Q79" s="505"/>
      <c r="R79" s="505"/>
    </row>
    <row r="80" spans="1:26" ht="12.75" customHeight="1">
      <c r="A80" s="118"/>
      <c r="B80" s="118"/>
      <c r="C80" s="118"/>
      <c r="D80"/>
      <c r="F80" s="391"/>
      <c r="G80"/>
      <c r="H80"/>
      <c r="I80"/>
      <c r="L80"/>
      <c r="M80" s="4"/>
      <c r="N80" s="121"/>
      <c r="P80" s="505"/>
      <c r="Q80" s="505"/>
      <c r="R80" s="505"/>
    </row>
    <row r="81" spans="1:25" ht="12.75">
      <c r="A81" s="118"/>
      <c r="B81" s="118"/>
      <c r="C81" s="118"/>
      <c r="L81"/>
      <c r="M81" s="4"/>
      <c r="N81" s="121"/>
      <c r="P81" s="398"/>
      <c r="Q81" s="398"/>
      <c r="R81" s="398"/>
    </row>
    <row r="82" spans="1:25" ht="12.75">
      <c r="A82" s="118"/>
      <c r="B82" s="118"/>
      <c r="C82" s="118"/>
      <c r="L82"/>
      <c r="M82" s="4"/>
      <c r="N82" s="120"/>
      <c r="P82" s="398"/>
      <c r="Q82" s="398"/>
      <c r="R82" s="398"/>
    </row>
    <row r="83" spans="1:25" s="436" customFormat="1">
      <c r="A83" s="38"/>
      <c r="B83" s="38"/>
      <c r="C83" s="38"/>
      <c r="D83" s="38"/>
      <c r="E83" s="38"/>
      <c r="F83" s="38"/>
      <c r="G83" s="38"/>
      <c r="H83" s="38"/>
      <c r="I83" s="38"/>
      <c r="J83" s="38"/>
      <c r="K83" s="38"/>
      <c r="L83" s="38"/>
      <c r="M83" s="38"/>
      <c r="N83" s="38"/>
      <c r="O83" s="38"/>
      <c r="W83" s="437"/>
    </row>
    <row r="84" spans="1:25" s="436" customFormat="1" ht="12.75" customHeight="1">
      <c r="A84" s="38"/>
      <c r="B84" s="38"/>
      <c r="C84" s="38"/>
      <c r="D84" s="38"/>
      <c r="E84" s="38"/>
      <c r="F84" s="38"/>
      <c r="G84" s="38"/>
      <c r="H84" s="38"/>
      <c r="I84" s="38"/>
      <c r="J84" s="38"/>
      <c r="K84" s="38"/>
      <c r="L84" s="38"/>
      <c r="M84" s="38"/>
      <c r="N84" s="38"/>
      <c r="O84" s="38"/>
      <c r="W84" s="437"/>
    </row>
    <row r="85" spans="1:25" s="436" customFormat="1" ht="12.75" customHeight="1">
      <c r="A85" s="38"/>
      <c r="B85" s="38"/>
      <c r="C85" s="38"/>
      <c r="D85" s="38"/>
      <c r="E85" s="38"/>
      <c r="F85" s="38"/>
      <c r="G85" s="38"/>
      <c r="H85" s="38"/>
      <c r="I85" s="38"/>
      <c r="J85" s="38"/>
      <c r="K85" s="38"/>
      <c r="L85" s="38"/>
      <c r="M85" s="38"/>
      <c r="N85" s="38"/>
      <c r="O85" s="38"/>
      <c r="W85" s="437"/>
    </row>
    <row r="86" spans="1:25" s="436" customFormat="1" ht="12.75" customHeight="1">
      <c r="A86" s="38"/>
      <c r="B86" s="38"/>
      <c r="C86" s="38"/>
      <c r="D86" s="38"/>
      <c r="E86" s="38"/>
      <c r="F86" s="38"/>
      <c r="G86" s="38"/>
      <c r="H86" s="38"/>
      <c r="I86" s="38"/>
      <c r="J86" s="38"/>
      <c r="K86" s="38"/>
      <c r="L86" s="38"/>
      <c r="M86" s="38"/>
      <c r="N86" s="38"/>
      <c r="O86" s="38"/>
      <c r="W86" s="437"/>
    </row>
    <row r="87" spans="1:25" s="436" customFormat="1" ht="12.75" customHeight="1">
      <c r="A87" s="38"/>
      <c r="B87" s="38"/>
      <c r="C87" s="38"/>
      <c r="D87" s="38"/>
      <c r="E87" s="38"/>
      <c r="F87" s="38"/>
      <c r="G87" s="38"/>
      <c r="H87" s="38"/>
      <c r="I87" s="38"/>
      <c r="J87" s="38"/>
      <c r="K87" s="38"/>
      <c r="L87" s="38"/>
      <c r="M87" s="38"/>
      <c r="N87" s="38"/>
      <c r="O87" s="38"/>
      <c r="W87" s="437"/>
    </row>
    <row r="88" spans="1:25" s="436" customFormat="1">
      <c r="A88" s="38"/>
      <c r="B88" s="38"/>
      <c r="C88" s="38"/>
      <c r="D88" s="38"/>
      <c r="E88" s="38"/>
      <c r="F88" s="38"/>
      <c r="G88" s="38"/>
      <c r="H88" s="38"/>
      <c r="I88" s="38"/>
      <c r="J88" s="38"/>
      <c r="K88" s="38"/>
      <c r="L88" s="38"/>
      <c r="M88" s="38"/>
      <c r="N88" s="38"/>
      <c r="O88" s="38"/>
      <c r="W88" s="437"/>
    </row>
    <row r="89" spans="1:25" s="436" customFormat="1">
      <c r="A89" s="38"/>
      <c r="B89" s="38"/>
      <c r="C89" s="38"/>
      <c r="D89" s="38"/>
      <c r="E89" s="38"/>
      <c r="F89" s="38"/>
      <c r="G89" s="38"/>
      <c r="H89" s="38"/>
      <c r="I89" s="38"/>
      <c r="J89" s="38"/>
      <c r="K89" s="38"/>
      <c r="L89" s="38"/>
      <c r="M89" s="38"/>
      <c r="N89" s="38"/>
      <c r="O89" s="38"/>
      <c r="T89" s="438"/>
      <c r="X89" s="618"/>
      <c r="Y89" s="618"/>
    </row>
    <row r="90" spans="1:25" s="436" customFormat="1">
      <c r="A90" s="38"/>
      <c r="B90" s="38"/>
      <c r="C90" s="38"/>
      <c r="D90" s="38"/>
      <c r="E90" s="38"/>
      <c r="F90" s="38"/>
      <c r="G90" s="38"/>
      <c r="H90" s="38"/>
      <c r="I90" s="38"/>
      <c r="J90" s="38"/>
      <c r="K90" s="38"/>
      <c r="L90" s="38"/>
      <c r="M90" s="38"/>
      <c r="N90" s="38"/>
      <c r="O90" s="38"/>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hyperlink ref="B57" r:id="rId1" display="IndividualCharterSchoolCounts"/>
    <hyperlink ref="B58" r:id="rId2" display="IndividualCharterSchoolCounts"/>
    <hyperlink ref="B59" r:id="rId3" display="IndividualCharterSchoolCounts"/>
    <hyperlink ref="C6:G6" r:id="rId4" display="Table 1 - Individual Charter School Counts "/>
    <hyperlink ref="C6:H6" location="'Data Entry'!B13" display="Table 1 - Individual Charter School Counts "/>
    <hyperlink ref="C31" location="'Data Entry'!B22" display="Table 2 - Charter Holder Total Charter School Counts (only calculated if one or more criteria are checked on the Data Entry Tab)"/>
  </hyperlinks>
  <printOptions horizontalCentered="1"/>
  <pageMargins left="0.2" right="0.2" top="0.25" bottom="0.25" header="0.5" footer="0.25"/>
  <pageSetup paperSize="5" scale="66" orientation="portrait" r:id="rId5"/>
  <headerFooter>
    <oddFooter>&amp;L&amp;"Arial,Bold"Rev. 5/25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84F654D5-9D86-4A00-B5A8-56532EAE4D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BBB4F38B-0799-4886-B61C-8DBB46B47F73}">
  <ds:schemaRefs>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ffcdc2e4-c8f2-4bf7-ab1d-ea300bde3fd8"/>
    <ds:schemaRef ds:uri="http://purl.org/dc/elements/1.1/"/>
    <ds:schemaRef ds:uri="8385876d-3ffd-449d-b709-a8df02b96ae7"/>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323</vt:i4>
      </vt:variant>
    </vt:vector>
  </HeadingPairs>
  <TitlesOfParts>
    <vt:vector size="334"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CAAsupplement</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FRPLsupplement</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StateAidsupplement</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ABIGAIL</cp:lastModifiedBy>
  <cp:lastPrinted>2025-07-02T22:24:48Z</cp:lastPrinted>
  <dcterms:created xsi:type="dcterms:W3CDTF">1997-10-06T08:25:08Z</dcterms:created>
  <dcterms:modified xsi:type="dcterms:W3CDTF">2025-07-03T18:11:31Z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0x0101001070CC293A09E046BE89913D5D7A0855</vt:lpwstr>
  </property>
  <property fmtid="{D5CDD505-2E9C-101B-9397-08002B2CF9AE}" pid="7" name="ADEGUID">
    <vt:lpwstr>74FBEA1B-ED4E-4886-9A66-DF6C925C2809</vt:lpwstr>
  </property>
  <property fmtid="{D5CDD505-2E9C-101B-9397-08002B2CF9AE}" pid="8" name="MediaServiceImageTags">
    <vt:lpwstr/>
  </property>
</Properties>
</file>